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G:\Sdílené disky\01 Projekty2\Smržovka\2025 - Rekonstrukce MÚ - MMR\03 Veřejné zakázky\001 Podklady\"/>
    </mc:Choice>
  </mc:AlternateContent>
  <xr:revisionPtr revIDLastSave="0" documentId="13_ncr:1_{DB82039D-840C-4F5D-B275-77F43DFC8FDC}" xr6:coauthVersionLast="47" xr6:coauthVersionMax="47" xr10:uidLastSave="{00000000-0000-0000-0000-000000000000}"/>
  <bookViews>
    <workbookView xWindow="-120" yWindow="-120" windowWidth="38640" windowHeight="15720" activeTab="1" xr2:uid="{00000000-000D-0000-FFFF-FFFF00000000}"/>
  </bookViews>
  <sheets>
    <sheet name="Rekapitulace stavby" sheetId="1" r:id="rId1"/>
    <sheet name="VON -Vedl.ostat.nákl." sheetId="6" r:id="rId2"/>
    <sheet name="SO 01 - Stáv.obj." sheetId="3" r:id="rId3"/>
    <sheet name="SO 02 - Přístavba" sheetId="7" r:id="rId4"/>
    <sheet name="SO 03 - Zpevněné plochy" sheetId="4" r:id="rId5"/>
    <sheet name="SO 04 - Sadové a terénní" sheetId="8" r:id="rId6"/>
    <sheet name="INT 01 - Interiér" sheetId="14" r:id="rId7"/>
    <sheet name="TO 01 - SLP" sheetId="9" r:id="rId8"/>
    <sheet name="IO 01 - Splašková kanalizace" sheetId="10" r:id="rId9"/>
    <sheet name="IO 02 - Dešťová kanalizace" sheetId="2" r:id="rId10"/>
    <sheet name="IO 03 - Vodovodní přípojka" sheetId="11" r:id="rId11"/>
    <sheet name="IO 04 - Elektro přípojka" sheetId="12" r:id="rId12"/>
    <sheet name="IO 05 - Plynová přípojka" sheetId="13" r:id="rId13"/>
    <sheet name="Pokyny pro vyplnění" sheetId="5" r:id="rId14"/>
  </sheets>
  <definedNames>
    <definedName name="_xlnm._FilterDatabase" localSheetId="6" hidden="1">'INT 01 - Interiér'!$C$79:$K$79</definedName>
    <definedName name="_xlnm._FilterDatabase" localSheetId="8" hidden="1">'IO 01 - Splašková kanalizace'!$C$78:$K$78</definedName>
    <definedName name="_xlnm._FilterDatabase" localSheetId="9" hidden="1">'IO 02 - Dešťová kanalizace'!$C$78:$K$78</definedName>
    <definedName name="_xlnm._FilterDatabase" localSheetId="10" hidden="1">'IO 03 - Vodovodní přípojka'!$C$78:$K$78</definedName>
    <definedName name="_xlnm._FilterDatabase" localSheetId="11" hidden="1">'IO 04 - Elektro přípojka'!$C$78:$K$78</definedName>
    <definedName name="_xlnm._FilterDatabase" localSheetId="12" hidden="1">'IO 05 - Plynová přípojka'!$C$78:$K$78</definedName>
    <definedName name="_xlnm._FilterDatabase" localSheetId="2" hidden="1">'SO 01 - Stáv.obj.'!$C$101:$K$101</definedName>
    <definedName name="_xlnm._FilterDatabase" localSheetId="3" hidden="1">'SO 02 - Přístavba'!$C$102:$K$102</definedName>
    <definedName name="_xlnm._FilterDatabase" localSheetId="4" hidden="1">'SO 03 - Zpevněné plochy'!$C$78:$K$78</definedName>
    <definedName name="_xlnm._FilterDatabase" localSheetId="5" hidden="1">'SO 04 - Sadové a terénní'!$C$78:$K$78</definedName>
    <definedName name="_xlnm._FilterDatabase" localSheetId="7" hidden="1">'TO 01 - SLP'!$C$78:$K$78</definedName>
    <definedName name="_xlnm.Print_Titles" localSheetId="6">'INT 01 - Interiér'!$79:$79</definedName>
    <definedName name="_xlnm.Print_Titles" localSheetId="8">'IO 01 - Splašková kanalizace'!$78:$78</definedName>
    <definedName name="_xlnm.Print_Titles" localSheetId="9">'IO 02 - Dešťová kanalizace'!$78:$78</definedName>
    <definedName name="_xlnm.Print_Titles" localSheetId="10">'IO 03 - Vodovodní přípojka'!$78:$78</definedName>
    <definedName name="_xlnm.Print_Titles" localSheetId="11">'IO 04 - Elektro přípojka'!$78:$78</definedName>
    <definedName name="_xlnm.Print_Titles" localSheetId="12">'IO 05 - Plynová přípojka'!$78:$78</definedName>
    <definedName name="_xlnm.Print_Titles" localSheetId="0">'Rekapitulace stavby'!$50:$50</definedName>
    <definedName name="_xlnm.Print_Titles" localSheetId="2">'SO 01 - Stáv.obj.'!$101:$101</definedName>
    <definedName name="_xlnm.Print_Titles" localSheetId="3">'SO 02 - Přístavba'!$102:$102</definedName>
    <definedName name="_xlnm.Print_Titles" localSheetId="4">'SO 03 - Zpevněné plochy'!$78:$78</definedName>
    <definedName name="_xlnm.Print_Titles" localSheetId="5">'SO 04 - Sadové a terénní'!$78:$78</definedName>
    <definedName name="_xlnm.Print_Titles" localSheetId="7">'TO 01 - SLP'!$78:$78</definedName>
    <definedName name="_xlnm.Print_Titles" localSheetId="1">'VON -Vedl.ostat.nákl.'!$51:$51</definedName>
    <definedName name="_xlnm.Print_Area" localSheetId="6">'INT 01 - Interiér'!$C$4:$K$37,'INT 01 - Interiér'!$C$43:$K$61,'INT 01 - Interiér'!$C$67:$K$133</definedName>
    <definedName name="_xlnm.Print_Area" localSheetId="8">'IO 01 - Splašková kanalizace'!$C$4:$K$37,'IO 01 - Splašková kanalizace'!$C$43:$K$60,'IO 01 - Splašková kanalizace'!$C$66:$K$82</definedName>
    <definedName name="_xlnm.Print_Area" localSheetId="9">'IO 02 - Dešťová kanalizace'!$C$4:$K$37,'IO 02 - Dešťová kanalizace'!$C$43:$K$60,'IO 02 - Dešťová kanalizace'!$C$66:$K$223</definedName>
    <definedName name="_xlnm.Print_Area" localSheetId="10">'IO 03 - Vodovodní přípojka'!$C$4:$K$37,'IO 03 - Vodovodní přípojka'!$C$43:$K$60,'IO 03 - Vodovodní přípojka'!$C$66:$K$82</definedName>
    <definedName name="_xlnm.Print_Area" localSheetId="11">'IO 04 - Elektro přípojka'!$C$4:$K$37,'IO 04 - Elektro přípojka'!$C$43:$K$60,'IO 04 - Elektro přípojka'!$C$66:$K$82</definedName>
    <definedName name="_xlnm.Print_Area" localSheetId="12">'IO 05 - Plynová přípojka'!$C$4:$K$37,'IO 05 - Plynová přípojka'!$C$43:$K$60,'IO 05 - Plynová přípojka'!$C$66:$K$82</definedName>
    <definedName name="_xlnm.Print_Area" localSheetId="13">'Pokyny pro vyplnění'!$B$2:$K$69,'Pokyny pro vyplnění'!$B$72:$K$116,'Pokyny pro vyplnění'!$B$119:$K$192,'Pokyny pro vyplnění'!$B$196:$K$216</definedName>
    <definedName name="_xlnm.Print_Area" localSheetId="0">'Rekapitulace stavby'!$D$4:$AO$34,'Rekapitulace stavby'!$C$40:$AQ$69</definedName>
    <definedName name="_xlnm.Print_Area" localSheetId="2">'SO 01 - Stáv.obj.'!$C$4:$K$37,'SO 01 - Stáv.obj.'!$C$43:$K$83,'SO 01 - Stáv.obj.'!$C$89:$K$1638</definedName>
    <definedName name="_xlnm.Print_Area" localSheetId="3">'SO 02 - Přístavba'!$C$4:$K$37,'SO 02 - Přístavba'!$C$43:$K$84,'SO 02 - Přístavba'!$C$90:$K$1337</definedName>
    <definedName name="_xlnm.Print_Area" localSheetId="4">'SO 03 - Zpevněné plochy'!$C$4:$K$37,'SO 03 - Zpevněné plochy'!$C$43:$K$60,'SO 03 - Zpevněné plochy'!$C$66:$K$204</definedName>
    <definedName name="_xlnm.Print_Area" localSheetId="5">'SO 04 - Sadové a terénní'!$C$4:$K$37,'SO 04 - Sadové a terénní'!$C$43:$K$60,'SO 04 - Sadové a terénní'!$C$66:$K$118</definedName>
    <definedName name="_xlnm.Print_Area" localSheetId="7">'TO 01 - SLP'!$C$4:$K$37,'TO 01 - SLP'!$C$43:$K$60,'TO 01 - SLP'!$C$66:$K$92</definedName>
    <definedName name="_xlnm.Print_Area" localSheetId="1">'VON -Vedl.ostat.nákl.'!$D$4:$AO$35,'VON -Vedl.ostat.nákl.'!$C$41:$AQ$113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0" i="7" l="1"/>
  <c r="H533" i="7"/>
  <c r="H531" i="7"/>
  <c r="H290" i="7"/>
  <c r="H289" i="7"/>
  <c r="H500" i="3" l="1"/>
  <c r="H1345" i="3"/>
  <c r="H1346" i="3" s="1"/>
  <c r="H1344" i="3" s="1"/>
  <c r="J1344" i="3" s="1"/>
  <c r="H1328" i="3"/>
  <c r="H1329" i="3"/>
  <c r="H1181" i="7"/>
  <c r="H1182" i="7" s="1"/>
  <c r="H1180" i="7" s="1"/>
  <c r="J1180" i="7" s="1"/>
  <c r="H1178" i="7"/>
  <c r="H1179" i="7" s="1"/>
  <c r="H1177" i="7" s="1"/>
  <c r="J1177" i="7" s="1"/>
  <c r="H1175" i="7"/>
  <c r="H1176" i="7" s="1"/>
  <c r="H1174" i="7" s="1"/>
  <c r="J1174" i="7" s="1"/>
  <c r="H1172" i="7"/>
  <c r="H1173" i="7" s="1"/>
  <c r="H1171" i="7" s="1"/>
  <c r="J1171" i="7" s="1"/>
  <c r="H449" i="7"/>
  <c r="H450" i="7" s="1"/>
  <c r="H448" i="7" s="1"/>
  <c r="J448" i="7" s="1"/>
  <c r="H446" i="7"/>
  <c r="H447" i="7" s="1"/>
  <c r="H445" i="7" s="1"/>
  <c r="J445" i="7" s="1"/>
  <c r="H443" i="7"/>
  <c r="H444" i="7" s="1"/>
  <c r="H442" i="7" s="1"/>
  <c r="J442" i="7" s="1"/>
  <c r="H440" i="7"/>
  <c r="H441" i="7" s="1"/>
  <c r="H439" i="7" s="1"/>
  <c r="J439" i="7" s="1"/>
  <c r="H437" i="7"/>
  <c r="H438" i="7" s="1"/>
  <c r="H436" i="7" s="1"/>
  <c r="J436" i="7" s="1"/>
  <c r="H434" i="7"/>
  <c r="H435" i="7" s="1"/>
  <c r="H433" i="7" s="1"/>
  <c r="J433" i="7" s="1"/>
  <c r="H431" i="7"/>
  <c r="H432" i="7" s="1"/>
  <c r="H430" i="7" s="1"/>
  <c r="J430" i="7" s="1"/>
  <c r="H428" i="7"/>
  <c r="H429" i="7" s="1"/>
  <c r="H427" i="7" s="1"/>
  <c r="J427" i="7" s="1"/>
  <c r="H1314" i="7"/>
  <c r="H1313" i="7"/>
  <c r="H1312" i="7"/>
  <c r="H1311" i="7"/>
  <c r="H1310" i="7"/>
  <c r="H1309" i="7"/>
  <c r="H1306" i="7"/>
  <c r="H1305" i="7"/>
  <c r="H1304" i="7"/>
  <c r="H1303" i="7"/>
  <c r="H1302" i="7"/>
  <c r="H1301" i="7"/>
  <c r="H1298" i="7"/>
  <c r="H1297" i="7"/>
  <c r="H1296" i="7"/>
  <c r="H1295" i="7"/>
  <c r="H1294" i="7"/>
  <c r="H1293" i="7"/>
  <c r="H1290" i="7"/>
  <c r="H1289" i="7"/>
  <c r="H1288" i="7"/>
  <c r="H1287" i="7"/>
  <c r="H1286" i="7"/>
  <c r="H1285" i="7"/>
  <c r="H1335" i="7"/>
  <c r="H1331" i="7"/>
  <c r="H1330" i="7"/>
  <c r="H1329" i="7"/>
  <c r="H1328" i="7"/>
  <c r="H1327" i="7"/>
  <c r="H1326" i="7"/>
  <c r="H1323" i="7"/>
  <c r="H1322" i="7"/>
  <c r="H1321" i="7"/>
  <c r="H1320" i="7"/>
  <c r="H1319" i="7"/>
  <c r="H1318" i="7"/>
  <c r="H1263" i="7"/>
  <c r="H1268" i="7"/>
  <c r="H1276" i="7"/>
  <c r="H1267" i="7"/>
  <c r="H1257" i="7"/>
  <c r="H1254" i="7"/>
  <c r="H1251" i="7"/>
  <c r="H1248" i="7"/>
  <c r="H1222" i="7"/>
  <c r="H1240" i="7"/>
  <c r="H1234" i="7"/>
  <c r="H1228" i="7"/>
  <c r="H1225" i="7"/>
  <c r="H1195" i="7"/>
  <c r="H1196" i="7"/>
  <c r="H1200" i="7"/>
  <c r="H1191" i="7"/>
  <c r="H1189" i="7" s="1"/>
  <c r="J1189" i="7" s="1"/>
  <c r="H1187" i="7"/>
  <c r="H1188" i="7" s="1"/>
  <c r="H1186" i="7" s="1"/>
  <c r="H1184" i="7"/>
  <c r="H1185" i="7" s="1"/>
  <c r="H1183" i="7" s="1"/>
  <c r="J1183" i="7" s="1"/>
  <c r="H1170" i="7"/>
  <c r="H1168" i="7" s="1"/>
  <c r="J1168" i="7" s="1"/>
  <c r="H1155" i="7"/>
  <c r="H1152" i="7"/>
  <c r="H1153" i="7" s="1"/>
  <c r="H1151" i="7" s="1"/>
  <c r="H1149" i="7"/>
  <c r="H1148" i="7"/>
  <c r="H1141" i="7"/>
  <c r="H1140" i="7"/>
  <c r="H1133" i="7"/>
  <c r="H1129" i="7"/>
  <c r="H1125" i="7"/>
  <c r="H1124" i="7"/>
  <c r="H1119" i="7"/>
  <c r="H1118" i="7"/>
  <c r="H1115" i="7"/>
  <c r="H1114" i="7"/>
  <c r="H1111" i="7"/>
  <c r="H1110" i="7"/>
  <c r="H1088" i="7"/>
  <c r="H1089" i="7"/>
  <c r="H1085" i="7"/>
  <c r="H1084" i="7"/>
  <c r="H1083" i="7"/>
  <c r="H1082" i="7"/>
  <c r="H1079" i="7"/>
  <c r="H1078" i="7"/>
  <c r="H1077" i="7"/>
  <c r="H1076" i="7"/>
  <c r="H1070" i="7"/>
  <c r="H1069" i="7"/>
  <c r="H1063" i="7"/>
  <c r="H1061" i="7"/>
  <c r="H1062" i="7"/>
  <c r="H1065" i="7"/>
  <c r="H1066" i="7"/>
  <c r="H1064" i="7"/>
  <c r="H800" i="7"/>
  <c r="H1044" i="7"/>
  <c r="H1041" i="7"/>
  <c r="H1038" i="7"/>
  <c r="H710" i="7"/>
  <c r="H709" i="7"/>
  <c r="H706" i="7"/>
  <c r="H704" i="7" s="1"/>
  <c r="J704" i="7" s="1"/>
  <c r="H702" i="7"/>
  <c r="H703" i="7" s="1"/>
  <c r="H701" i="7" s="1"/>
  <c r="J701" i="7" s="1"/>
  <c r="H683" i="7"/>
  <c r="H662" i="7"/>
  <c r="H658" i="7"/>
  <c r="H641" i="7"/>
  <c r="H635" i="7"/>
  <c r="H638" i="7"/>
  <c r="H631" i="7"/>
  <c r="H632" i="7"/>
  <c r="H625" i="7"/>
  <c r="H626" i="7"/>
  <c r="H621" i="7"/>
  <c r="H622" i="7"/>
  <c r="H618" i="7"/>
  <c r="H614" i="7"/>
  <c r="H608" i="7"/>
  <c r="H607" i="7"/>
  <c r="H603" i="7"/>
  <c r="H604" i="7"/>
  <c r="H600" i="7"/>
  <c r="H597" i="7"/>
  <c r="H593" i="7"/>
  <c r="H594" i="7"/>
  <c r="H590" i="7"/>
  <c r="H587" i="7"/>
  <c r="H539" i="7"/>
  <c r="H538" i="7"/>
  <c r="H537" i="7"/>
  <c r="H523" i="7"/>
  <c r="H501" i="7"/>
  <c r="H477" i="7"/>
  <c r="H474" i="7"/>
  <c r="H471" i="7"/>
  <c r="H470" i="7"/>
  <c r="H469" i="7"/>
  <c r="H468" i="7"/>
  <c r="H465" i="7"/>
  <c r="H459" i="7"/>
  <c r="H422" i="7"/>
  <c r="H419" i="7"/>
  <c r="H416" i="7"/>
  <c r="H412" i="7"/>
  <c r="H398" i="7"/>
  <c r="H395" i="7"/>
  <c r="H392" i="7"/>
  <c r="H388" i="7"/>
  <c r="H389" i="7"/>
  <c r="H387" i="7"/>
  <c r="H384" i="7"/>
  <c r="H381" i="7"/>
  <c r="H371" i="7"/>
  <c r="H368" i="7"/>
  <c r="H367" i="7"/>
  <c r="H361" i="7"/>
  <c r="H360" i="7"/>
  <c r="H359" i="7"/>
  <c r="H358" i="7"/>
  <c r="H354" i="7"/>
  <c r="H348" i="7"/>
  <c r="H340" i="7"/>
  <c r="H330" i="7"/>
  <c r="H363" i="7"/>
  <c r="H362" i="7"/>
  <c r="H350" i="7"/>
  <c r="H349" i="7"/>
  <c r="H345" i="7"/>
  <c r="H344" i="7"/>
  <c r="H343" i="7"/>
  <c r="H342" i="7"/>
  <c r="H341" i="7"/>
  <c r="H337" i="7"/>
  <c r="H336" i="7"/>
  <c r="H333" i="7"/>
  <c r="H332" i="7"/>
  <c r="H331" i="7"/>
  <c r="H237" i="7"/>
  <c r="H234" i="7"/>
  <c r="H231" i="7"/>
  <c r="H228" i="7"/>
  <c r="H224" i="7"/>
  <c r="H221" i="7"/>
  <c r="H222" i="7" s="1"/>
  <c r="H220" i="7" s="1"/>
  <c r="H218" i="7"/>
  <c r="H219" i="7" s="1"/>
  <c r="H217" i="7" s="1"/>
  <c r="H214" i="7"/>
  <c r="H210" i="7"/>
  <c r="H207" i="7"/>
  <c r="H208" i="7" s="1"/>
  <c r="H206" i="7" s="1"/>
  <c r="P206" i="7" s="1"/>
  <c r="H204" i="7"/>
  <c r="H326" i="7"/>
  <c r="H327" i="7" s="1"/>
  <c r="H325" i="7" s="1"/>
  <c r="H323" i="7"/>
  <c r="H322" i="7"/>
  <c r="H321" i="7"/>
  <c r="H320" i="7"/>
  <c r="H319" i="7"/>
  <c r="H318" i="7"/>
  <c r="H317" i="7"/>
  <c r="H316" i="7"/>
  <c r="H315" i="7"/>
  <c r="H309" i="7"/>
  <c r="H312" i="7"/>
  <c r="H311" i="7"/>
  <c r="H310" i="7"/>
  <c r="H308" i="7"/>
  <c r="H307" i="7"/>
  <c r="H306" i="7"/>
  <c r="H305" i="7"/>
  <c r="H304" i="7"/>
  <c r="H294" i="7"/>
  <c r="H299" i="7"/>
  <c r="H298" i="7"/>
  <c r="H295" i="7"/>
  <c r="H291" i="7"/>
  <c r="H286" i="7"/>
  <c r="H288" i="7"/>
  <c r="H285" i="7"/>
  <c r="H284" i="7"/>
  <c r="H280" i="7"/>
  <c r="H281" i="7"/>
  <c r="H277" i="7"/>
  <c r="H274" i="7"/>
  <c r="H271" i="7"/>
  <c r="H268" i="7"/>
  <c r="H267" i="7"/>
  <c r="H266" i="7"/>
  <c r="H263" i="7"/>
  <c r="H262" i="7"/>
  <c r="H261" i="7"/>
  <c r="H258" i="7"/>
  <c r="H257" i="7"/>
  <c r="H256" i="7"/>
  <c r="H251" i="7"/>
  <c r="H252" i="7"/>
  <c r="H253" i="7"/>
  <c r="H248" i="7"/>
  <c r="H247" i="7"/>
  <c r="H246" i="7"/>
  <c r="H243" i="7"/>
  <c r="H241" i="7"/>
  <c r="H242" i="7"/>
  <c r="H225" i="7"/>
  <c r="H215" i="7"/>
  <c r="H192" i="7"/>
  <c r="P427" i="7" l="1"/>
  <c r="P445" i="7"/>
  <c r="P448" i="7"/>
  <c r="P430" i="7"/>
  <c r="P433" i="7"/>
  <c r="P436" i="7"/>
  <c r="P439" i="7"/>
  <c r="P442" i="7"/>
  <c r="H1291" i="7"/>
  <c r="H1332" i="7"/>
  <c r="J1186" i="7"/>
  <c r="H1156" i="7"/>
  <c r="H1154" i="7" s="1"/>
  <c r="J1154" i="7" s="1"/>
  <c r="H1150" i="7"/>
  <c r="H1147" i="7" s="1"/>
  <c r="J1147" i="7" s="1"/>
  <c r="J1151" i="7"/>
  <c r="H1120" i="7"/>
  <c r="H1117" i="7" s="1"/>
  <c r="H1112" i="7"/>
  <c r="H1090" i="7"/>
  <c r="H1116" i="7"/>
  <c r="H1113" i="7" s="1"/>
  <c r="H1071" i="7"/>
  <c r="H1073" i="7" s="1"/>
  <c r="H633" i="7"/>
  <c r="H623" i="7"/>
  <c r="H627" i="7"/>
  <c r="H346" i="7"/>
  <c r="H313" i="7"/>
  <c r="H244" i="7"/>
  <c r="H226" i="7"/>
  <c r="H216" i="7"/>
  <c r="H213" i="7" s="1"/>
  <c r="P213" i="7" s="1"/>
  <c r="P220" i="7"/>
  <c r="J220" i="7"/>
  <c r="J217" i="7"/>
  <c r="P217" i="7"/>
  <c r="J206" i="7"/>
  <c r="J213" i="7" l="1"/>
  <c r="H195" i="7" l="1"/>
  <c r="H189" i="7"/>
  <c r="H188" i="7"/>
  <c r="H187" i="7"/>
  <c r="H186" i="7"/>
  <c r="H185" i="7"/>
  <c r="H184" i="7"/>
  <c r="H177" i="7"/>
  <c r="H176" i="7"/>
  <c r="H178" i="7"/>
  <c r="H179" i="7"/>
  <c r="H180" i="7"/>
  <c r="H173" i="7"/>
  <c r="H172" i="7"/>
  <c r="H171" i="7"/>
  <c r="H170" i="7"/>
  <c r="H169" i="7"/>
  <c r="H166" i="7"/>
  <c r="H161" i="7"/>
  <c r="H157" i="7"/>
  <c r="H158" i="7" s="1"/>
  <c r="H150" i="7"/>
  <c r="H151" i="7"/>
  <c r="H147" i="7"/>
  <c r="H146" i="7"/>
  <c r="H145" i="7"/>
  <c r="H142" i="7"/>
  <c r="H141" i="7"/>
  <c r="H140" i="7"/>
  <c r="H137" i="7"/>
  <c r="H136" i="7"/>
  <c r="H135" i="7"/>
  <c r="H131" i="7"/>
  <c r="H132" i="7"/>
  <c r="H130" i="7"/>
  <c r="H127" i="7"/>
  <c r="H111" i="7"/>
  <c r="H124" i="7"/>
  <c r="H123" i="7"/>
  <c r="H120" i="7"/>
  <c r="H114" i="7"/>
  <c r="H110" i="7"/>
  <c r="H107" i="7"/>
  <c r="H1636" i="3"/>
  <c r="H1610" i="3"/>
  <c r="H1575" i="3"/>
  <c r="H1584" i="3"/>
  <c r="H1528" i="3"/>
  <c r="H1517" i="3"/>
  <c r="H1506" i="3"/>
  <c r="H1495" i="3"/>
  <c r="H1482" i="3"/>
  <c r="H1470" i="3"/>
  <c r="H1334" i="3"/>
  <c r="H1213" i="3"/>
  <c r="H1110" i="3"/>
  <c r="H1111" i="3" s="1"/>
  <c r="H1109" i="3" s="1"/>
  <c r="J1109" i="3" s="1"/>
  <c r="H1169" i="3"/>
  <c r="H1168" i="3"/>
  <c r="H1167" i="3"/>
  <c r="H1153" i="3"/>
  <c r="H1152" i="3"/>
  <c r="H1151" i="3"/>
  <c r="H1101" i="3"/>
  <c r="H1100" i="3"/>
  <c r="H1072" i="3"/>
  <c r="H1073" i="3" s="1"/>
  <c r="H1069" i="3"/>
  <c r="H1065" i="3"/>
  <c r="H1066" i="3" s="1"/>
  <c r="J1064" i="3"/>
  <c r="H929" i="3"/>
  <c r="H930" i="3" s="1"/>
  <c r="H932" i="3"/>
  <c r="H935" i="3"/>
  <c r="H938" i="3"/>
  <c r="H926" i="3"/>
  <c r="H927" i="3" s="1"/>
  <c r="H925" i="3" s="1"/>
  <c r="J925" i="3" s="1"/>
  <c r="H923" i="3"/>
  <c r="H924" i="3" s="1"/>
  <c r="H922" i="3" s="1"/>
  <c r="J922" i="3" s="1"/>
  <c r="H920" i="3"/>
  <c r="H1045" i="3"/>
  <c r="H1046" i="3" s="1"/>
  <c r="H1044" i="3" s="1"/>
  <c r="J1044" i="3" s="1"/>
  <c r="H1025" i="3"/>
  <c r="H1009" i="3"/>
  <c r="H944" i="3"/>
  <c r="H947" i="3"/>
  <c r="H948" i="3" s="1"/>
  <c r="H946" i="3" s="1"/>
  <c r="J946" i="3" s="1"/>
  <c r="H593" i="3"/>
  <c r="H550" i="3"/>
  <c r="H541" i="3"/>
  <c r="H531" i="3"/>
  <c r="H522" i="3"/>
  <c r="H523" i="3"/>
  <c r="H512" i="3"/>
  <c r="H503" i="3"/>
  <c r="H451" i="3"/>
  <c r="H429" i="3"/>
  <c r="H299" i="3"/>
  <c r="H254" i="3"/>
  <c r="H255" i="3" s="1"/>
  <c r="H253" i="3" s="1"/>
  <c r="H297" i="3"/>
  <c r="H410" i="3"/>
  <c r="H405" i="3"/>
  <c r="H377" i="3"/>
  <c r="H388" i="3"/>
  <c r="H361" i="3"/>
  <c r="H353" i="3"/>
  <c r="H342" i="3"/>
  <c r="H311" i="3"/>
  <c r="H230" i="3"/>
  <c r="H224" i="3"/>
  <c r="H113" i="3"/>
  <c r="H119" i="3"/>
  <c r="H111" i="3"/>
  <c r="H1176" i="3"/>
  <c r="H1174" i="3" s="1"/>
  <c r="J1174" i="3" s="1"/>
  <c r="H1034" i="3"/>
  <c r="H1032" i="3" s="1"/>
  <c r="J1032" i="3" s="1"/>
  <c r="H133" i="7" l="1"/>
  <c r="H125" i="7"/>
  <c r="H174" i="7"/>
  <c r="H1071" i="3"/>
  <c r="J1071" i="3" s="1"/>
  <c r="J253" i="3"/>
  <c r="P253" i="3"/>
  <c r="H83" i="9"/>
  <c r="H131" i="14"/>
  <c r="H132" i="14" s="1"/>
  <c r="H130" i="14" s="1"/>
  <c r="J130" i="14" s="1"/>
  <c r="H128" i="14"/>
  <c r="H129" i="14" s="1"/>
  <c r="H127" i="14" s="1"/>
  <c r="J127" i="14" s="1"/>
  <c r="H125" i="14"/>
  <c r="H126" i="14" s="1"/>
  <c r="H124" i="14" s="1"/>
  <c r="J124" i="14" s="1"/>
  <c r="H122" i="14"/>
  <c r="H123" i="14" s="1"/>
  <c r="H121" i="14" s="1"/>
  <c r="J121" i="14" s="1"/>
  <c r="H119" i="14"/>
  <c r="H120" i="14" s="1"/>
  <c r="H118" i="14" s="1"/>
  <c r="J118" i="14" s="1"/>
  <c r="H116" i="14"/>
  <c r="H117" i="14" s="1"/>
  <c r="H115" i="14" s="1"/>
  <c r="J115" i="14" s="1"/>
  <c r="H113" i="14"/>
  <c r="H112" i="14"/>
  <c r="H109" i="14"/>
  <c r="H110" i="14" s="1"/>
  <c r="H108" i="14" s="1"/>
  <c r="J108" i="14" s="1"/>
  <c r="H106" i="14"/>
  <c r="H107" i="14" s="1"/>
  <c r="H105" i="14" s="1"/>
  <c r="J105" i="14" s="1"/>
  <c r="H103" i="14"/>
  <c r="H104" i="14" s="1"/>
  <c r="H102" i="14" s="1"/>
  <c r="J102" i="14" s="1"/>
  <c r="H100" i="14"/>
  <c r="H99" i="14"/>
  <c r="H98" i="14"/>
  <c r="H93" i="14"/>
  <c r="H94" i="14" s="1"/>
  <c r="H92" i="14" s="1"/>
  <c r="J92" i="14" s="1"/>
  <c r="H90" i="14"/>
  <c r="H91" i="14" s="1"/>
  <c r="H89" i="14" s="1"/>
  <c r="J89" i="14" s="1"/>
  <c r="C86" i="14"/>
  <c r="C89" i="14" s="1"/>
  <c r="C92" i="14" s="1"/>
  <c r="C95" i="14" s="1"/>
  <c r="C97" i="14" s="1"/>
  <c r="H87" i="14"/>
  <c r="H88" i="14" s="1"/>
  <c r="H86" i="14" s="1"/>
  <c r="J86" i="14" s="1"/>
  <c r="H84" i="14"/>
  <c r="H85" i="14" s="1"/>
  <c r="H83" i="14" s="1"/>
  <c r="H1336" i="7"/>
  <c r="H1334" i="7" s="1"/>
  <c r="J1334" i="7" s="1"/>
  <c r="J1333" i="7" s="1"/>
  <c r="H1637" i="3"/>
  <c r="H1635" i="3" s="1"/>
  <c r="H1632" i="3"/>
  <c r="H1631" i="3"/>
  <c r="H1630" i="3"/>
  <c r="H1629" i="3"/>
  <c r="H1628" i="3"/>
  <c r="H1627" i="3"/>
  <c r="H1626" i="3"/>
  <c r="H1625" i="3"/>
  <c r="H1624" i="3"/>
  <c r="H1623" i="3"/>
  <c r="H1622" i="3"/>
  <c r="H1621" i="3"/>
  <c r="H1620" i="3"/>
  <c r="H1619" i="3"/>
  <c r="H1618" i="3"/>
  <c r="H1617" i="3"/>
  <c r="H1616" i="3"/>
  <c r="H1615" i="3"/>
  <c r="H1614" i="3"/>
  <c r="H1613" i="3"/>
  <c r="H1612" i="3"/>
  <c r="H1611" i="3"/>
  <c r="H1609" i="3"/>
  <c r="H1606" i="3"/>
  <c r="H1605" i="3"/>
  <c r="H1604" i="3"/>
  <c r="H1603" i="3"/>
  <c r="H1602" i="3"/>
  <c r="H1601" i="3"/>
  <c r="H1600" i="3"/>
  <c r="H1599" i="3"/>
  <c r="H1598" i="3"/>
  <c r="H1597" i="3"/>
  <c r="H1596" i="3"/>
  <c r="H1595" i="3"/>
  <c r="H1594" i="3"/>
  <c r="H1593" i="3"/>
  <c r="H1592" i="3"/>
  <c r="H1591" i="3"/>
  <c r="H1590" i="3"/>
  <c r="H1589" i="3"/>
  <c r="H1588" i="3"/>
  <c r="H1587" i="3"/>
  <c r="H1586" i="3"/>
  <c r="H1585" i="3"/>
  <c r="H1583" i="3"/>
  <c r="H1579" i="3"/>
  <c r="H1580" i="3" s="1"/>
  <c r="H1578" i="3" s="1"/>
  <c r="J1578" i="3" s="1"/>
  <c r="H1576" i="3"/>
  <c r="H1574" i="3"/>
  <c r="H1463" i="3"/>
  <c r="H1464" i="3" s="1"/>
  <c r="H1462" i="3" s="1"/>
  <c r="H1460" i="3"/>
  <c r="H1461" i="3" s="1"/>
  <c r="H1459" i="3" s="1"/>
  <c r="J1459" i="3" s="1"/>
  <c r="H1571" i="3"/>
  <c r="H1570" i="3"/>
  <c r="H1569" i="3"/>
  <c r="H1568" i="3"/>
  <c r="H1567" i="3"/>
  <c r="H1439" i="3"/>
  <c r="H1440" i="3" s="1"/>
  <c r="H1438" i="3" s="1"/>
  <c r="J1438" i="3" s="1"/>
  <c r="H1436" i="3"/>
  <c r="H1437" i="3" s="1"/>
  <c r="H1435" i="3" s="1"/>
  <c r="J1435" i="3" s="1"/>
  <c r="H1433" i="3"/>
  <c r="H1434" i="3" s="1"/>
  <c r="H1432" i="3" s="1"/>
  <c r="J1432" i="3" s="1"/>
  <c r="H1430" i="3"/>
  <c r="H1431" i="3" s="1"/>
  <c r="H1429" i="3" s="1"/>
  <c r="J1429" i="3" s="1"/>
  <c r="H1427" i="3"/>
  <c r="H1428" i="3" s="1"/>
  <c r="H1426" i="3" s="1"/>
  <c r="J1426" i="3" s="1"/>
  <c r="H1424" i="3"/>
  <c r="H1425" i="3" s="1"/>
  <c r="H1423" i="3" s="1"/>
  <c r="J1423" i="3" s="1"/>
  <c r="H1421" i="3"/>
  <c r="H1420" i="3"/>
  <c r="H1419" i="3"/>
  <c r="H1414" i="3"/>
  <c r="H1413" i="3"/>
  <c r="H1412" i="3"/>
  <c r="H1564" i="3"/>
  <c r="H1563" i="3"/>
  <c r="H1562" i="3"/>
  <c r="H1561" i="3"/>
  <c r="H1560" i="3"/>
  <c r="H1555" i="3"/>
  <c r="H1554" i="3"/>
  <c r="H1553" i="3"/>
  <c r="H1550" i="3"/>
  <c r="H1549" i="3"/>
  <c r="H1548" i="3"/>
  <c r="H1545" i="3"/>
  <c r="H1544" i="3"/>
  <c r="H1543" i="3"/>
  <c r="H1540" i="3"/>
  <c r="H1539" i="3"/>
  <c r="H1538" i="3"/>
  <c r="H1533" i="3"/>
  <c r="H1532" i="3"/>
  <c r="H1531" i="3"/>
  <c r="H1530" i="3"/>
  <c r="H1529" i="3"/>
  <c r="H1527" i="3"/>
  <c r="H1526" i="3"/>
  <c r="H1525" i="3"/>
  <c r="H1522" i="3"/>
  <c r="H1521" i="3"/>
  <c r="H1520" i="3"/>
  <c r="H1519" i="3"/>
  <c r="H1518" i="3"/>
  <c r="H1516" i="3"/>
  <c r="H1515" i="3"/>
  <c r="H1514" i="3"/>
  <c r="H1511" i="3"/>
  <c r="H1510" i="3"/>
  <c r="H1509" i="3"/>
  <c r="H1508" i="3"/>
  <c r="H1507" i="3"/>
  <c r="H1505" i="3"/>
  <c r="H1504" i="3"/>
  <c r="H1503" i="3"/>
  <c r="H1500" i="3"/>
  <c r="H1499" i="3"/>
  <c r="H1498" i="3"/>
  <c r="H1497" i="3"/>
  <c r="H1496" i="3"/>
  <c r="H1494" i="3"/>
  <c r="H1493" i="3"/>
  <c r="H1492" i="3"/>
  <c r="H382" i="3"/>
  <c r="H381" i="3"/>
  <c r="H380" i="3"/>
  <c r="H379" i="3"/>
  <c r="H378" i="3"/>
  <c r="H376" i="3"/>
  <c r="H375" i="3"/>
  <c r="H374" i="3"/>
  <c r="H1477" i="3"/>
  <c r="H1476" i="3"/>
  <c r="H1475" i="3"/>
  <c r="H1474" i="3"/>
  <c r="H1473" i="3"/>
  <c r="H1472" i="3"/>
  <c r="H1471" i="3"/>
  <c r="H1469" i="3"/>
  <c r="H1468" i="3"/>
  <c r="H1489" i="3"/>
  <c r="H1488" i="3"/>
  <c r="H1487" i="3"/>
  <c r="H1486" i="3"/>
  <c r="H1485" i="3"/>
  <c r="H1484" i="3"/>
  <c r="H1483" i="3"/>
  <c r="H1481" i="3"/>
  <c r="H1480" i="3"/>
  <c r="J1479" i="3"/>
  <c r="H1455" i="3"/>
  <c r="H1458" i="3" s="1"/>
  <c r="H1454" i="3" s="1"/>
  <c r="J1454" i="3" s="1"/>
  <c r="H1450" i="3"/>
  <c r="H1453" i="3" s="1"/>
  <c r="H1449" i="3" s="1"/>
  <c r="J1449" i="3" s="1"/>
  <c r="H1448" i="3"/>
  <c r="H1446" i="3" s="1"/>
  <c r="J1446" i="3" s="1"/>
  <c r="H1445" i="3"/>
  <c r="H1443" i="3" s="1"/>
  <c r="J1443" i="3" s="1"/>
  <c r="H1401" i="3"/>
  <c r="H1400" i="3"/>
  <c r="H1397" i="3"/>
  <c r="H1396" i="3"/>
  <c r="H1393" i="3"/>
  <c r="H1389" i="3"/>
  <c r="H1386" i="3"/>
  <c r="H1385" i="3"/>
  <c r="H1384" i="3"/>
  <c r="H1383" i="3"/>
  <c r="H1382" i="3"/>
  <c r="H1301" i="3"/>
  <c r="H1300" i="3"/>
  <c r="J1395" i="3"/>
  <c r="H1392" i="3"/>
  <c r="H1391" i="3"/>
  <c r="H1390" i="3"/>
  <c r="H1379" i="3"/>
  <c r="H1378" i="3"/>
  <c r="H1377" i="3"/>
  <c r="H1376" i="3"/>
  <c r="H1375" i="3"/>
  <c r="H1372" i="3"/>
  <c r="H1371" i="3"/>
  <c r="H1370" i="3"/>
  <c r="H1369" i="3"/>
  <c r="H1368" i="3"/>
  <c r="H1365" i="3"/>
  <c r="H1364" i="3"/>
  <c r="H1363" i="3"/>
  <c r="H1362" i="3"/>
  <c r="H1361" i="3"/>
  <c r="H1358" i="3"/>
  <c r="H1357" i="3"/>
  <c r="H1356" i="3"/>
  <c r="H1355" i="3"/>
  <c r="H1354" i="3"/>
  <c r="H1349" i="3"/>
  <c r="H1347" i="3" s="1"/>
  <c r="H1352" i="3"/>
  <c r="H1350" i="3" s="1"/>
  <c r="J1350" i="3" s="1"/>
  <c r="H1342" i="3"/>
  <c r="H1343" i="3" s="1"/>
  <c r="H1341" i="3" s="1"/>
  <c r="J1341" i="3" s="1"/>
  <c r="H1339" i="3"/>
  <c r="H1340" i="3" s="1"/>
  <c r="H1338" i="3" s="1"/>
  <c r="J1338" i="3" s="1"/>
  <c r="H1337" i="3"/>
  <c r="H1335" i="3" s="1"/>
  <c r="J1335" i="3" s="1"/>
  <c r="H1331" i="3"/>
  <c r="H1327" i="3"/>
  <c r="H1330" i="3" s="1"/>
  <c r="H1326" i="3" s="1"/>
  <c r="J1326" i="3" s="1"/>
  <c r="C102" i="14" l="1"/>
  <c r="C105" i="14" s="1"/>
  <c r="C108" i="14" s="1"/>
  <c r="C111" i="14" s="1"/>
  <c r="C115" i="14" s="1"/>
  <c r="C118" i="14" s="1"/>
  <c r="C121" i="14" s="1"/>
  <c r="C124" i="14" s="1"/>
  <c r="C127" i="14" s="1"/>
  <c r="C130" i="14" s="1"/>
  <c r="C133" i="14" s="1"/>
  <c r="H114" i="14"/>
  <c r="H111" i="14" s="1"/>
  <c r="J111" i="14" s="1"/>
  <c r="H101" i="14"/>
  <c r="H97" i="14" s="1"/>
  <c r="J97" i="14" s="1"/>
  <c r="H1607" i="3"/>
  <c r="H1582" i="3" s="1"/>
  <c r="H1633" i="3"/>
  <c r="H1608" i="3" s="1"/>
  <c r="J1608" i="3" s="1"/>
  <c r="H1577" i="3"/>
  <c r="H1573" i="3" s="1"/>
  <c r="J1462" i="3"/>
  <c r="H1465" i="3" s="1"/>
  <c r="H1572" i="3"/>
  <c r="H1566" i="3" s="1"/>
  <c r="J1566" i="3" s="1"/>
  <c r="H1422" i="3"/>
  <c r="H1416" i="3" s="1"/>
  <c r="J1416" i="3" s="1"/>
  <c r="H1415" i="3"/>
  <c r="H1565" i="3"/>
  <c r="H1559" i="3" s="1"/>
  <c r="H1556" i="3"/>
  <c r="H1552" i="3" s="1"/>
  <c r="J1552" i="3" s="1"/>
  <c r="H1551" i="3"/>
  <c r="H1547" i="3" s="1"/>
  <c r="J1547" i="3" s="1"/>
  <c r="H1546" i="3"/>
  <c r="H1542" i="3" s="1"/>
  <c r="J1542" i="3" s="1"/>
  <c r="H1541" i="3"/>
  <c r="H1512" i="3"/>
  <c r="H1502" i="3" s="1"/>
  <c r="J1502" i="3" s="1"/>
  <c r="H1501" i="3"/>
  <c r="H1491" i="3" s="1"/>
  <c r="J1491" i="3" s="1"/>
  <c r="H1523" i="3"/>
  <c r="H1513" i="3" s="1"/>
  <c r="J1513" i="3" s="1"/>
  <c r="H1534" i="3"/>
  <c r="H1524" i="3" s="1"/>
  <c r="J1524" i="3" s="1"/>
  <c r="H1490" i="3"/>
  <c r="H1478" i="3"/>
  <c r="H1467" i="3" s="1"/>
  <c r="J1467" i="3" s="1"/>
  <c r="H1387" i="3"/>
  <c r="H1381" i="3" s="1"/>
  <c r="J1381" i="3" s="1"/>
  <c r="H1394" i="3"/>
  <c r="H1388" i="3" s="1"/>
  <c r="J1388" i="3" s="1"/>
  <c r="H1402" i="3"/>
  <c r="H1399" i="3" s="1"/>
  <c r="J1399" i="3" s="1"/>
  <c r="H1398" i="3"/>
  <c r="H1380" i="3"/>
  <c r="H1374" i="3" s="1"/>
  <c r="H1373" i="3"/>
  <c r="H1367" i="3" s="1"/>
  <c r="J1367" i="3" s="1"/>
  <c r="H1366" i="3"/>
  <c r="H1360" i="3" s="1"/>
  <c r="J1360" i="3" s="1"/>
  <c r="H1359" i="3"/>
  <c r="H1353" i="3" s="1"/>
  <c r="J1353" i="3" s="1"/>
  <c r="J1347" i="3"/>
  <c r="H1318" i="3"/>
  <c r="H1319" i="3" s="1"/>
  <c r="H1317" i="3" s="1"/>
  <c r="J1317" i="3" s="1"/>
  <c r="H1315" i="3"/>
  <c r="H1316" i="3" s="1"/>
  <c r="H1314" i="3" s="1"/>
  <c r="J1314" i="3" s="1"/>
  <c r="H1407" i="3"/>
  <c r="H1408" i="3" s="1"/>
  <c r="H1406" i="3" s="1"/>
  <c r="J1406" i="3" s="1"/>
  <c r="H1404" i="3"/>
  <c r="H1324" i="3"/>
  <c r="H1325" i="3" s="1"/>
  <c r="H1323" i="3" s="1"/>
  <c r="H1321" i="3"/>
  <c r="H1322" i="3" s="1"/>
  <c r="H1320" i="3" s="1"/>
  <c r="H411" i="7"/>
  <c r="H410" i="7"/>
  <c r="H413" i="7"/>
  <c r="H370" i="3"/>
  <c r="H371" i="3"/>
  <c r="H1306" i="3"/>
  <c r="H1307" i="3" s="1"/>
  <c r="H1305" i="3" s="1"/>
  <c r="H1309" i="3"/>
  <c r="H1310" i="3" s="1"/>
  <c r="H1308" i="3" s="1"/>
  <c r="J1299" i="3"/>
  <c r="H1297" i="3"/>
  <c r="H1296" i="3"/>
  <c r="H1293" i="3"/>
  <c r="H1292" i="3"/>
  <c r="H1270" i="3"/>
  <c r="H1289" i="3"/>
  <c r="H1288" i="3"/>
  <c r="H1287" i="3"/>
  <c r="H1284" i="3"/>
  <c r="H1285" i="3" s="1"/>
  <c r="H1283" i="3" s="1"/>
  <c r="J1283" i="3" s="1"/>
  <c r="H1278" i="3"/>
  <c r="H1277" i="3"/>
  <c r="H1281" i="3"/>
  <c r="H1282" i="3" s="1"/>
  <c r="H1280" i="3" s="1"/>
  <c r="J1280" i="3" s="1"/>
  <c r="H1269" i="3"/>
  <c r="H1273" i="3"/>
  <c r="H1274" i="3"/>
  <c r="H133" i="14" l="1"/>
  <c r="J133" i="14" s="1"/>
  <c r="J1465" i="3"/>
  <c r="H1409" i="3"/>
  <c r="J1409" i="3" s="1"/>
  <c r="H1537" i="3"/>
  <c r="H1535" i="3"/>
  <c r="J1535" i="3" s="1"/>
  <c r="J1374" i="3"/>
  <c r="H1405" i="3"/>
  <c r="H1403" i="3" s="1"/>
  <c r="J1403" i="3" s="1"/>
  <c r="J1331" i="3"/>
  <c r="J1320" i="3"/>
  <c r="J1323" i="3"/>
  <c r="H1271" i="3"/>
  <c r="H372" i="3"/>
  <c r="H369" i="3" s="1"/>
  <c r="J369" i="3" s="1"/>
  <c r="H414" i="7"/>
  <c r="H409" i="7" s="1"/>
  <c r="P409" i="7" s="1"/>
  <c r="H1302" i="3"/>
  <c r="H1294" i="3"/>
  <c r="H1291" i="3" s="1"/>
  <c r="J1291" i="3" s="1"/>
  <c r="H1298" i="3"/>
  <c r="H1295" i="3" s="1"/>
  <c r="J1295" i="3" s="1"/>
  <c r="H1290" i="3"/>
  <c r="H1286" i="3" s="1"/>
  <c r="J1286" i="3" s="1"/>
  <c r="H1279" i="3"/>
  <c r="H1276" i="3" s="1"/>
  <c r="J1276" i="3" s="1"/>
  <c r="H1275" i="3"/>
  <c r="H1272" i="3" s="1"/>
  <c r="J1272" i="3" s="1"/>
  <c r="H1441" i="3" l="1"/>
  <c r="J1441" i="3" s="1"/>
  <c r="J1537" i="3"/>
  <c r="H1557" i="3" s="1"/>
  <c r="J1557" i="3" s="1"/>
  <c r="J409" i="7"/>
  <c r="P369" i="3"/>
  <c r="H1268" i="3" l="1"/>
  <c r="H1234" i="3"/>
  <c r="H1235" i="3" s="1"/>
  <c r="H1233" i="3" s="1"/>
  <c r="J1233" i="3" s="1"/>
  <c r="H825" i="3"/>
  <c r="H826" i="3" s="1"/>
  <c r="H824" i="3" s="1"/>
  <c r="J824" i="3" s="1"/>
  <c r="H1264" i="3"/>
  <c r="H1265" i="3" s="1"/>
  <c r="H1263" i="3" s="1"/>
  <c r="J1263" i="3" s="1"/>
  <c r="H1261" i="3"/>
  <c r="H1262" i="3" s="1"/>
  <c r="H1260" i="3" s="1"/>
  <c r="J1260" i="3" s="1"/>
  <c r="H1258" i="3"/>
  <c r="H1259" i="3" s="1"/>
  <c r="H1257" i="3" s="1"/>
  <c r="J1257" i="3" s="1"/>
  <c r="H1250" i="3"/>
  <c r="H1251" i="3" s="1"/>
  <c r="H1249" i="3" s="1"/>
  <c r="J1249" i="3" s="1"/>
  <c r="H1247" i="3"/>
  <c r="H1248" i="3" s="1"/>
  <c r="H1246" i="3" s="1"/>
  <c r="J1246" i="3" s="1"/>
  <c r="H1244" i="3"/>
  <c r="H1245" i="3" s="1"/>
  <c r="H1243" i="3" s="1"/>
  <c r="J1243" i="3" s="1"/>
  <c r="H1255" i="3"/>
  <c r="H1256" i="3" s="1"/>
  <c r="H1254" i="3" s="1"/>
  <c r="J1254" i="3" s="1"/>
  <c r="H1241" i="3"/>
  <c r="H1242" i="3" s="1"/>
  <c r="H1240" i="3" s="1"/>
  <c r="J1240" i="3" s="1"/>
  <c r="H1266" i="3" l="1"/>
  <c r="J1266" i="3" s="1"/>
  <c r="H1252" i="3"/>
  <c r="J1252" i="3" s="1"/>
  <c r="H1237" i="3" l="1"/>
  <c r="H1238" i="3"/>
  <c r="H1236" i="3"/>
  <c r="J788" i="3" l="1"/>
  <c r="H789" i="3"/>
  <c r="H790" i="3" s="1"/>
  <c r="H1178" i="3"/>
  <c r="H1179" i="3" s="1"/>
  <c r="H1177" i="3" s="1"/>
  <c r="J1177" i="3" s="1"/>
  <c r="H1172" i="3"/>
  <c r="H1173" i="3" s="1"/>
  <c r="H1171" i="3" s="1"/>
  <c r="J1171" i="3" s="1"/>
  <c r="H1164" i="3"/>
  <c r="H1165" i="3" s="1"/>
  <c r="H1163" i="3" s="1"/>
  <c r="J1163" i="3" s="1"/>
  <c r="H1161" i="3"/>
  <c r="H1160" i="3"/>
  <c r="H1159" i="3"/>
  <c r="H1036" i="3"/>
  <c r="H1037" i="3" s="1"/>
  <c r="H1035" i="3" s="1"/>
  <c r="J1035" i="3" s="1"/>
  <c r="H1030" i="3"/>
  <c r="H1031" i="3" s="1"/>
  <c r="H1029" i="3" s="1"/>
  <c r="J1029" i="3" s="1"/>
  <c r="H1027" i="3"/>
  <c r="H1026" i="3"/>
  <c r="H1019" i="3"/>
  <c r="H1022" i="3"/>
  <c r="H1018" i="3"/>
  <c r="H1017" i="3"/>
  <c r="H1011" i="7"/>
  <c r="H1225" i="3"/>
  <c r="H1226" i="3" s="1"/>
  <c r="H1224" i="3" s="1"/>
  <c r="J1224" i="3" s="1"/>
  <c r="H1210" i="3"/>
  <c r="H1211" i="3" s="1"/>
  <c r="H1209" i="3" s="1"/>
  <c r="H1214" i="3"/>
  <c r="H1212" i="3" s="1"/>
  <c r="O1212" i="3" s="1"/>
  <c r="H1208" i="3"/>
  <c r="H1206" i="3" s="1"/>
  <c r="H1202" i="3"/>
  <c r="H1203" i="3" s="1"/>
  <c r="H1201" i="3" s="1"/>
  <c r="J1201" i="3" s="1"/>
  <c r="H1199" i="3"/>
  <c r="H1200" i="3" s="1"/>
  <c r="H1198" i="3" s="1"/>
  <c r="J1198" i="3" s="1"/>
  <c r="H1196" i="3"/>
  <c r="H1193" i="3"/>
  <c r="H1194" i="3" s="1"/>
  <c r="H1192" i="3" s="1"/>
  <c r="J1192" i="3" s="1"/>
  <c r="H1190" i="3"/>
  <c r="H1191" i="3" s="1"/>
  <c r="H1189" i="3" s="1"/>
  <c r="J1189" i="3" s="1"/>
  <c r="H1187" i="3"/>
  <c r="H1188" i="3" s="1"/>
  <c r="H1186" i="3" s="1"/>
  <c r="J1186" i="3" s="1"/>
  <c r="H1184" i="3"/>
  <c r="H1185" i="3" s="1"/>
  <c r="H1183" i="3" s="1"/>
  <c r="J1183" i="3" s="1"/>
  <c r="H1181" i="3"/>
  <c r="H1182" i="3" s="1"/>
  <c r="H1180" i="3" s="1"/>
  <c r="H1156" i="3"/>
  <c r="H1157" i="3" s="1"/>
  <c r="H1155" i="3" s="1"/>
  <c r="J1155" i="3" s="1"/>
  <c r="H1148" i="3"/>
  <c r="H1147" i="3"/>
  <c r="H1146" i="3"/>
  <c r="H1143" i="3"/>
  <c r="H1144" i="3" s="1"/>
  <c r="H1142" i="3" s="1"/>
  <c r="J1142" i="3" s="1"/>
  <c r="H1140" i="3"/>
  <c r="H1139" i="3"/>
  <c r="H1138" i="3"/>
  <c r="H1135" i="3"/>
  <c r="H1136" i="3" s="1"/>
  <c r="H1134" i="3" s="1"/>
  <c r="J1134" i="3" s="1"/>
  <c r="H1132" i="3"/>
  <c r="H1133" i="3" s="1"/>
  <c r="H1131" i="3" s="1"/>
  <c r="J1131" i="3" s="1"/>
  <c r="H1129" i="3"/>
  <c r="H1130" i="3" s="1"/>
  <c r="H1128" i="3" s="1"/>
  <c r="J1128" i="3" s="1"/>
  <c r="H1126" i="3"/>
  <c r="H1127" i="3" s="1"/>
  <c r="H1125" i="3" s="1"/>
  <c r="J1125" i="3" s="1"/>
  <c r="H1123" i="3"/>
  <c r="H1124" i="3" s="1"/>
  <c r="H1122" i="3" s="1"/>
  <c r="J1122" i="3" s="1"/>
  <c r="H1120" i="3"/>
  <c r="H1119" i="3"/>
  <c r="H1118" i="3"/>
  <c r="H1115" i="3"/>
  <c r="H1114" i="3"/>
  <c r="H1113" i="3"/>
  <c r="H1107" i="3"/>
  <c r="H1108" i="3" s="1"/>
  <c r="H1106" i="3" s="1"/>
  <c r="J1106" i="3" s="1"/>
  <c r="H1104" i="3"/>
  <c r="H1105" i="3" s="1"/>
  <c r="H1103" i="3" s="1"/>
  <c r="J1103" i="3" s="1"/>
  <c r="H1099" i="3"/>
  <c r="H1102" i="3" s="1"/>
  <c r="H1084" i="3"/>
  <c r="H1085" i="3" s="1"/>
  <c r="H1083" i="3" s="1"/>
  <c r="J1083" i="3" s="1"/>
  <c r="H1087" i="3"/>
  <c r="H1088" i="3" s="1"/>
  <c r="H1086" i="3" s="1"/>
  <c r="J1086" i="3" s="1"/>
  <c r="H1090" i="3"/>
  <c r="H1091" i="3" s="1"/>
  <c r="H1089" i="3" s="1"/>
  <c r="J1089" i="3" s="1"/>
  <c r="H1093" i="3"/>
  <c r="H1094" i="3" s="1"/>
  <c r="H1092" i="3" s="1"/>
  <c r="J1092" i="3" s="1"/>
  <c r="H1096" i="3"/>
  <c r="H1097" i="3" s="1"/>
  <c r="H1095" i="3" s="1"/>
  <c r="J1095" i="3" s="1"/>
  <c r="H1081" i="3"/>
  <c r="H1082" i="3" s="1"/>
  <c r="H1080" i="3" s="1"/>
  <c r="J1080" i="3" s="1"/>
  <c r="H1075" i="3"/>
  <c r="H1076" i="3" s="1"/>
  <c r="H1074" i="3" s="1"/>
  <c r="J1074" i="3" s="1"/>
  <c r="H1078" i="3"/>
  <c r="H1079" i="3" s="1"/>
  <c r="H1077" i="3" s="1"/>
  <c r="J1077" i="3" s="1"/>
  <c r="H1068" i="3"/>
  <c r="H1062" i="3"/>
  <c r="H1063" i="3" s="1"/>
  <c r="J1061" i="3"/>
  <c r="H1059" i="3"/>
  <c r="H1060" i="3" s="1"/>
  <c r="H1058" i="3" s="1"/>
  <c r="J1058" i="3" s="1"/>
  <c r="H1054" i="3"/>
  <c r="H1055" i="3" s="1"/>
  <c r="H1053" i="3" s="1"/>
  <c r="J1053" i="3" s="1"/>
  <c r="H1039" i="3"/>
  <c r="H1040" i="3" s="1"/>
  <c r="H1038" i="3" s="1"/>
  <c r="J1038" i="3" s="1"/>
  <c r="H1042" i="3"/>
  <c r="H1043" i="3" s="1"/>
  <c r="H1041" i="3" s="1"/>
  <c r="J1041" i="3" s="1"/>
  <c r="H1051" i="3"/>
  <c r="H1052" i="3" s="1"/>
  <c r="H1050" i="3" s="1"/>
  <c r="J1050" i="3" s="1"/>
  <c r="H1048" i="3"/>
  <c r="H1049" i="3" s="1"/>
  <c r="H1047" i="3" s="1"/>
  <c r="J1047" i="3" s="1"/>
  <c r="H1014" i="3"/>
  <c r="H1015" i="3" s="1"/>
  <c r="H1013" i="3" s="1"/>
  <c r="J1013" i="3" s="1"/>
  <c r="H1011" i="3"/>
  <c r="H1010" i="3"/>
  <c r="H1004" i="3"/>
  <c r="H1006" i="3"/>
  <c r="H1005" i="3"/>
  <c r="H1001" i="3"/>
  <c r="H1002" i="3" s="1"/>
  <c r="H1000" i="3" s="1"/>
  <c r="J1000" i="3" s="1"/>
  <c r="H998" i="3"/>
  <c r="H997" i="3"/>
  <c r="H996" i="3"/>
  <c r="H993" i="3"/>
  <c r="H994" i="3" s="1"/>
  <c r="H992" i="3" s="1"/>
  <c r="J992" i="3" s="1"/>
  <c r="H990" i="3"/>
  <c r="H991" i="3" s="1"/>
  <c r="H989" i="3" s="1"/>
  <c r="J989" i="3" s="1"/>
  <c r="H987" i="3"/>
  <c r="H988" i="3" s="1"/>
  <c r="H986" i="3" s="1"/>
  <c r="J986" i="3" s="1"/>
  <c r="H984" i="3"/>
  <c r="H985" i="3" s="1"/>
  <c r="H983" i="3" s="1"/>
  <c r="J983" i="3" s="1"/>
  <c r="H981" i="3"/>
  <c r="H982" i="3" s="1"/>
  <c r="H980" i="3" s="1"/>
  <c r="J980" i="3" s="1"/>
  <c r="H978" i="3"/>
  <c r="H973" i="3"/>
  <c r="H977" i="3"/>
  <c r="H972" i="3"/>
  <c r="H976" i="3"/>
  <c r="H971" i="3"/>
  <c r="H1170" i="3" l="1"/>
  <c r="H1166" i="3" s="1"/>
  <c r="J1166" i="3" s="1"/>
  <c r="H1162" i="3"/>
  <c r="H1158" i="3" s="1"/>
  <c r="J1158" i="3" s="1"/>
  <c r="H1028" i="3"/>
  <c r="H1024" i="3" s="1"/>
  <c r="J1024" i="3" s="1"/>
  <c r="H1020" i="3"/>
  <c r="H1016" i="3" s="1"/>
  <c r="J1016" i="3" s="1"/>
  <c r="H1023" i="3"/>
  <c r="H1021" i="3" s="1"/>
  <c r="J1021" i="3" s="1"/>
  <c r="J1212" i="3"/>
  <c r="O1206" i="3"/>
  <c r="J1206" i="3"/>
  <c r="O1209" i="3"/>
  <c r="J1209" i="3"/>
  <c r="H1149" i="3"/>
  <c r="H1145" i="3" s="1"/>
  <c r="J1145" i="3" s="1"/>
  <c r="H1121" i="3"/>
  <c r="H1117" i="3" s="1"/>
  <c r="J1117" i="3" s="1"/>
  <c r="H1141" i="3"/>
  <c r="H1137" i="3" s="1"/>
  <c r="J1137" i="3" s="1"/>
  <c r="H1154" i="3"/>
  <c r="H1150" i="3" s="1"/>
  <c r="J1150" i="3" s="1"/>
  <c r="J1180" i="3"/>
  <c r="H1116" i="3"/>
  <c r="H1112" i="3" s="1"/>
  <c r="J1112" i="3" s="1"/>
  <c r="H1098" i="3"/>
  <c r="J1098" i="3" s="1"/>
  <c r="H1070" i="3"/>
  <c r="H1067" i="3" s="1"/>
  <c r="J1067" i="3" s="1"/>
  <c r="H1197" i="3"/>
  <c r="H1195" i="3" s="1"/>
  <c r="J1195" i="3" s="1"/>
  <c r="H1012" i="3"/>
  <c r="H1008" i="3" s="1"/>
  <c r="J1008" i="3" s="1"/>
  <c r="H1007" i="3"/>
  <c r="H1003" i="3" s="1"/>
  <c r="J1003" i="3" s="1"/>
  <c r="H999" i="3"/>
  <c r="H995" i="3" s="1"/>
  <c r="J995" i="3" s="1"/>
  <c r="H979" i="3"/>
  <c r="H975" i="3" s="1"/>
  <c r="J975" i="3" s="1"/>
  <c r="H974" i="3"/>
  <c r="H970" i="3" s="1"/>
  <c r="J970" i="3" s="1"/>
  <c r="H1216" i="3" l="1"/>
  <c r="H1217" i="3" s="1"/>
  <c r="H1230" i="3"/>
  <c r="J1230" i="3" s="1"/>
  <c r="H1204" i="3"/>
  <c r="J1204" i="3" s="1"/>
  <c r="H1219" i="3" l="1"/>
  <c r="H1220" i="3" s="1"/>
  <c r="H1218" i="3" s="1"/>
  <c r="J1218" i="3" s="1"/>
  <c r="H1222" i="3"/>
  <c r="H1228" i="3" s="1"/>
  <c r="H1229" i="3" s="1"/>
  <c r="H1227" i="3" s="1"/>
  <c r="J1227" i="3" s="1"/>
  <c r="H1215" i="3"/>
  <c r="J1215" i="3" s="1"/>
  <c r="H1223" i="3" l="1"/>
  <c r="H1221" i="3" s="1"/>
  <c r="J1221" i="3" s="1"/>
  <c r="H956" i="3" l="1"/>
  <c r="H959" i="3"/>
  <c r="H962" i="3"/>
  <c r="H965" i="3"/>
  <c r="H968" i="3"/>
  <c r="H913" i="3"/>
  <c r="H910" i="3"/>
  <c r="H911" i="3" s="1"/>
  <c r="H909" i="3" s="1"/>
  <c r="J909" i="3" s="1"/>
  <c r="H953" i="3" l="1"/>
  <c r="H954" i="3" s="1"/>
  <c r="H952" i="3" s="1"/>
  <c r="H950" i="3"/>
  <c r="H951" i="3" s="1"/>
  <c r="H949" i="3" s="1"/>
  <c r="H969" i="3"/>
  <c r="H967" i="3" s="1"/>
  <c r="H966" i="3"/>
  <c r="H964" i="3" s="1"/>
  <c r="H963" i="3"/>
  <c r="H961" i="3" s="1"/>
  <c r="H960" i="3"/>
  <c r="H958" i="3" s="1"/>
  <c r="H957" i="3"/>
  <c r="H955" i="3" s="1"/>
  <c r="H945" i="3"/>
  <c r="H943" i="3" s="1"/>
  <c r="H939" i="3"/>
  <c r="H937" i="3" s="1"/>
  <c r="H936" i="3"/>
  <c r="H934" i="3" s="1"/>
  <c r="H933" i="3"/>
  <c r="H931" i="3" s="1"/>
  <c r="H928" i="3"/>
  <c r="H921" i="3"/>
  <c r="H919" i="3" s="1"/>
  <c r="H916" i="3"/>
  <c r="H917" i="3" s="1"/>
  <c r="H915" i="3" s="1"/>
  <c r="H914" i="3"/>
  <c r="H912" i="3" s="1"/>
  <c r="H905" i="3"/>
  <c r="H906" i="3" s="1"/>
  <c r="H904" i="3" s="1"/>
  <c r="J96" i="14" l="1"/>
  <c r="J83" i="14"/>
  <c r="E72" i="14"/>
  <c r="E48" i="14"/>
  <c r="F35" i="14"/>
  <c r="F34" i="14"/>
  <c r="F33" i="14"/>
  <c r="J32" i="14"/>
  <c r="E25" i="14"/>
  <c r="E23" i="14"/>
  <c r="E22" i="14"/>
  <c r="E21" i="14"/>
  <c r="J76" i="14" s="1"/>
  <c r="J20" i="14"/>
  <c r="J18" i="14"/>
  <c r="E18" i="14"/>
  <c r="F77" i="14" s="1"/>
  <c r="J17" i="14"/>
  <c r="J15" i="14"/>
  <c r="E15" i="14"/>
  <c r="F52" i="14" s="1"/>
  <c r="J14" i="14"/>
  <c r="J12" i="14"/>
  <c r="J50" i="14" s="1"/>
  <c r="E7" i="14"/>
  <c r="E70" i="14" s="1"/>
  <c r="H899" i="3"/>
  <c r="H900" i="3" s="1"/>
  <c r="H898" i="3" s="1"/>
  <c r="H896" i="3"/>
  <c r="H897" i="3" s="1"/>
  <c r="H895" i="3" s="1"/>
  <c r="H888" i="3"/>
  <c r="H890" i="3"/>
  <c r="H889" i="3"/>
  <c r="H882" i="3"/>
  <c r="H883" i="3" s="1"/>
  <c r="H881" i="3" s="1"/>
  <c r="J881" i="3" s="1"/>
  <c r="H893" i="3"/>
  <c r="H894" i="3" s="1"/>
  <c r="H892" i="3" s="1"/>
  <c r="H885" i="3"/>
  <c r="H886" i="3" s="1"/>
  <c r="H884" i="3" s="1"/>
  <c r="H879" i="3"/>
  <c r="H880" i="3" s="1"/>
  <c r="H878" i="3" s="1"/>
  <c r="J878" i="3" s="1"/>
  <c r="H875" i="3"/>
  <c r="H876" i="3" s="1"/>
  <c r="H874" i="3" s="1"/>
  <c r="H869" i="3"/>
  <c r="H870" i="3" s="1"/>
  <c r="H868" i="3" s="1"/>
  <c r="H866" i="3"/>
  <c r="H867" i="3" s="1"/>
  <c r="H865" i="3" s="1"/>
  <c r="H863" i="3"/>
  <c r="H864" i="3" s="1"/>
  <c r="H862" i="3" s="1"/>
  <c r="H840" i="3"/>
  <c r="H839" i="3"/>
  <c r="H832" i="3"/>
  <c r="H833" i="3" s="1"/>
  <c r="H831" i="3" s="1"/>
  <c r="H857" i="3"/>
  <c r="H856" i="3"/>
  <c r="H853" i="3"/>
  <c r="H849" i="3"/>
  <c r="H845" i="3"/>
  <c r="H852" i="3"/>
  <c r="H848" i="3"/>
  <c r="H844" i="3"/>
  <c r="H828" i="3"/>
  <c r="H829" i="3" s="1"/>
  <c r="H827" i="3" s="1"/>
  <c r="H822" i="3"/>
  <c r="H823" i="3" s="1"/>
  <c r="H821" i="3" s="1"/>
  <c r="H717" i="3"/>
  <c r="H716" i="3"/>
  <c r="H715" i="3"/>
  <c r="H714" i="3"/>
  <c r="H711" i="3"/>
  <c r="H712" i="3" s="1"/>
  <c r="H710" i="3" s="1"/>
  <c r="J710" i="3" s="1"/>
  <c r="H746" i="3"/>
  <c r="H745" i="3"/>
  <c r="H742" i="3"/>
  <c r="H743" i="3" s="1"/>
  <c r="H741" i="3" s="1"/>
  <c r="J741" i="3" s="1"/>
  <c r="H803" i="3"/>
  <c r="H804" i="3" s="1"/>
  <c r="H802" i="3" s="1"/>
  <c r="J802" i="3" s="1"/>
  <c r="H800" i="3"/>
  <c r="H799" i="3"/>
  <c r="H767" i="3"/>
  <c r="H768" i="3" s="1"/>
  <c r="H766" i="3" s="1"/>
  <c r="J766" i="3" s="1"/>
  <c r="H816" i="3"/>
  <c r="H817" i="3" s="1"/>
  <c r="H815" i="3" s="1"/>
  <c r="H813" i="3"/>
  <c r="H814" i="3" s="1"/>
  <c r="H812" i="3" s="1"/>
  <c r="H810" i="3"/>
  <c r="H811" i="3" s="1"/>
  <c r="H809" i="3" s="1"/>
  <c r="H798" i="3"/>
  <c r="H807" i="3"/>
  <c r="H808" i="3" s="1"/>
  <c r="H806" i="3" s="1"/>
  <c r="H95" i="14" l="1"/>
  <c r="J95" i="14" s="1"/>
  <c r="J74" i="14"/>
  <c r="F53" i="14"/>
  <c r="J52" i="14"/>
  <c r="F76" i="14"/>
  <c r="E46" i="14"/>
  <c r="H891" i="3"/>
  <c r="H887" i="3" s="1"/>
  <c r="H841" i="3"/>
  <c r="H858" i="3"/>
  <c r="H855" i="3" s="1"/>
  <c r="J855" i="3" s="1"/>
  <c r="H854" i="3"/>
  <c r="H851" i="3" s="1"/>
  <c r="J851" i="3" s="1"/>
  <c r="H850" i="3"/>
  <c r="H847" i="3" s="1"/>
  <c r="J847" i="3" s="1"/>
  <c r="H846" i="3"/>
  <c r="H718" i="3"/>
  <c r="H713" i="3" s="1"/>
  <c r="J713" i="3" s="1"/>
  <c r="H747" i="3"/>
  <c r="H744" i="3" s="1"/>
  <c r="J744" i="3" s="1"/>
  <c r="H801" i="3"/>
  <c r="H797" i="3" s="1"/>
  <c r="J797" i="3" s="1"/>
  <c r="H805" i="3" s="1"/>
  <c r="J805" i="3" s="1"/>
  <c r="H838" i="3" l="1"/>
  <c r="J838" i="3" s="1"/>
  <c r="H792" i="3"/>
  <c r="H793" i="3" s="1"/>
  <c r="J791" i="3"/>
  <c r="H786" i="3"/>
  <c r="H787" i="3" s="1"/>
  <c r="J785" i="3"/>
  <c r="H783" i="3"/>
  <c r="H784" i="3" s="1"/>
  <c r="J782" i="3"/>
  <c r="H780" i="3"/>
  <c r="H781" i="3" s="1"/>
  <c r="J779" i="3"/>
  <c r="H739" i="3"/>
  <c r="H740" i="3" s="1"/>
  <c r="H738" i="3" s="1"/>
  <c r="J738" i="3" s="1"/>
  <c r="H736" i="3"/>
  <c r="H737" i="3" s="1"/>
  <c r="H735" i="3" s="1"/>
  <c r="J735" i="3" s="1"/>
  <c r="H733" i="3"/>
  <c r="H734" i="3" s="1"/>
  <c r="H732" i="3" s="1"/>
  <c r="J732" i="3" s="1"/>
  <c r="H727" i="3"/>
  <c r="H728" i="3" s="1"/>
  <c r="H726" i="3" s="1"/>
  <c r="J726" i="3" s="1"/>
  <c r="H730" i="3"/>
  <c r="H731" i="3" s="1"/>
  <c r="H729" i="3" s="1"/>
  <c r="J729" i="3" s="1"/>
  <c r="H708" i="3"/>
  <c r="H709" i="3" s="1"/>
  <c r="H707" i="3" s="1"/>
  <c r="J707" i="3" s="1"/>
  <c r="H705" i="3"/>
  <c r="H706" i="3" s="1"/>
  <c r="H704" i="3" s="1"/>
  <c r="J704" i="3" s="1"/>
  <c r="H702" i="3"/>
  <c r="H703" i="3" s="1"/>
  <c r="H701" i="3" s="1"/>
  <c r="J701" i="3" s="1"/>
  <c r="H699" i="3"/>
  <c r="H700" i="3" s="1"/>
  <c r="H698" i="3" s="1"/>
  <c r="J698" i="3" s="1"/>
  <c r="H696" i="3"/>
  <c r="H697" i="3" s="1"/>
  <c r="H695" i="3" s="1"/>
  <c r="J695" i="3" s="1"/>
  <c r="H693" i="3"/>
  <c r="H694" i="3" s="1"/>
  <c r="H692" i="3" s="1"/>
  <c r="J692" i="3" s="1"/>
  <c r="H690" i="3"/>
  <c r="H691" i="3" s="1"/>
  <c r="H689" i="3" s="1"/>
  <c r="J689" i="3" s="1"/>
  <c r="H687" i="3"/>
  <c r="H688" i="3" s="1"/>
  <c r="H686" i="3" s="1"/>
  <c r="J686" i="3" s="1"/>
  <c r="H684" i="3"/>
  <c r="H685" i="3" s="1"/>
  <c r="H683" i="3" s="1"/>
  <c r="J683" i="3" s="1"/>
  <c r="H681" i="3"/>
  <c r="H682" i="3" s="1"/>
  <c r="H680" i="3" s="1"/>
  <c r="J680" i="3" s="1"/>
  <c r="H678" i="3"/>
  <c r="H679" i="3" s="1"/>
  <c r="H677" i="3" s="1"/>
  <c r="J677" i="3" s="1"/>
  <c r="H675" i="3"/>
  <c r="H676" i="3" s="1"/>
  <c r="H674" i="3" s="1"/>
  <c r="J674" i="3" s="1"/>
  <c r="H672" i="3"/>
  <c r="H673" i="3" s="1"/>
  <c r="H671" i="3" s="1"/>
  <c r="J671" i="3" s="1"/>
  <c r="H669" i="3"/>
  <c r="H670" i="3" s="1"/>
  <c r="H668" i="3" s="1"/>
  <c r="J668" i="3" s="1"/>
  <c r="H666" i="3"/>
  <c r="H667" i="3" s="1"/>
  <c r="H665" i="3" s="1"/>
  <c r="J665" i="3" s="1"/>
  <c r="H643" i="3"/>
  <c r="H639" i="3"/>
  <c r="H635" i="3"/>
  <c r="H631" i="3"/>
  <c r="H627" i="3"/>
  <c r="H776" i="3"/>
  <c r="H777" i="3" s="1"/>
  <c r="H775" i="3" s="1"/>
  <c r="H773" i="3"/>
  <c r="H774" i="3" s="1"/>
  <c r="H772" i="3" s="1"/>
  <c r="H770" i="3"/>
  <c r="H771" i="3" s="1"/>
  <c r="H769" i="3" s="1"/>
  <c r="H764" i="3"/>
  <c r="H765" i="3" s="1"/>
  <c r="H763" i="3" s="1"/>
  <c r="H761" i="3"/>
  <c r="H762" i="3" s="1"/>
  <c r="H760" i="3" s="1"/>
  <c r="H758" i="3"/>
  <c r="H759" i="3" s="1"/>
  <c r="H757" i="3" s="1"/>
  <c r="H755" i="3"/>
  <c r="H756" i="3" s="1"/>
  <c r="H754" i="3" s="1"/>
  <c r="H752" i="3"/>
  <c r="H753" i="3" s="1"/>
  <c r="H751" i="3" s="1"/>
  <c r="H723" i="3"/>
  <c r="H724" i="3" s="1"/>
  <c r="H722" i="3" s="1"/>
  <c r="H662" i="3"/>
  <c r="H663" i="3" s="1"/>
  <c r="H661" i="3" s="1"/>
  <c r="H649" i="3"/>
  <c r="H642" i="3"/>
  <c r="H638" i="3"/>
  <c r="H634" i="3"/>
  <c r="H630" i="3"/>
  <c r="H626" i="3"/>
  <c r="H636" i="3" l="1"/>
  <c r="H633" i="3" s="1"/>
  <c r="O633" i="3" s="1"/>
  <c r="H748" i="3"/>
  <c r="J748" i="3" s="1"/>
  <c r="H794" i="3"/>
  <c r="J794" i="3" s="1"/>
  <c r="H719" i="3"/>
  <c r="J719" i="3" s="1"/>
  <c r="H644" i="3"/>
  <c r="H641" i="3" s="1"/>
  <c r="J641" i="3" s="1"/>
  <c r="H640" i="3"/>
  <c r="H637" i="3" s="1"/>
  <c r="J637" i="3" s="1"/>
  <c r="H628" i="3"/>
  <c r="H625" i="3" s="1"/>
  <c r="O625" i="3" s="1"/>
  <c r="H632" i="3"/>
  <c r="H629" i="3" s="1"/>
  <c r="O629" i="3" s="1"/>
  <c r="J633" i="3" l="1"/>
  <c r="J629" i="3"/>
  <c r="H646" i="3"/>
  <c r="H647" i="3" s="1"/>
  <c r="H650" i="3"/>
  <c r="H648" i="3" s="1"/>
  <c r="J648" i="3" s="1"/>
  <c r="H645" i="3" l="1"/>
  <c r="J645" i="3" s="1"/>
  <c r="H652" i="3"/>
  <c r="H658" i="3" s="1"/>
  <c r="H659" i="3" s="1"/>
  <c r="H657" i="3" s="1"/>
  <c r="J657" i="3" s="1"/>
  <c r="H653" i="3" l="1"/>
  <c r="H651" i="3" l="1"/>
  <c r="J651" i="3" s="1"/>
  <c r="H655" i="3"/>
  <c r="H656" i="3" s="1"/>
  <c r="H654" i="3" s="1"/>
  <c r="J654" i="3" s="1"/>
  <c r="H619" i="3" l="1"/>
  <c r="H620" i="3" s="1"/>
  <c r="H618" i="3" s="1"/>
  <c r="J618" i="3" s="1"/>
  <c r="H616" i="3"/>
  <c r="H617" i="3" s="1"/>
  <c r="H615" i="3" s="1"/>
  <c r="J615" i="3" s="1"/>
  <c r="H613" i="3"/>
  <c r="H614" i="3" s="1"/>
  <c r="H612" i="3" s="1"/>
  <c r="J612" i="3" s="1"/>
  <c r="H610" i="3"/>
  <c r="H611" i="3" s="1"/>
  <c r="H609" i="3" s="1"/>
  <c r="J609" i="3" s="1"/>
  <c r="H607" i="3"/>
  <c r="H608" i="3" s="1"/>
  <c r="H606" i="3" s="1"/>
  <c r="H604" i="3"/>
  <c r="H605" i="3" s="1"/>
  <c r="H603" i="3" s="1"/>
  <c r="J603" i="3" s="1"/>
  <c r="H601" i="3"/>
  <c r="H602" i="3" s="1"/>
  <c r="H596" i="3"/>
  <c r="H595" i="3"/>
  <c r="H594" i="3"/>
  <c r="H592" i="3"/>
  <c r="H591" i="3"/>
  <c r="H590" i="3"/>
  <c r="J606" i="3" l="1"/>
  <c r="H597" i="3"/>
  <c r="H589" i="3" l="1"/>
  <c r="J589" i="3" s="1"/>
  <c r="H598" i="3" s="1"/>
  <c r="H1035" i="7" l="1"/>
  <c r="H1034" i="7"/>
  <c r="H1027" i="7"/>
  <c r="H1026" i="7"/>
  <c r="H1022" i="7"/>
  <c r="H1021" i="7"/>
  <c r="H522" i="7"/>
  <c r="H521" i="7"/>
  <c r="H555" i="3"/>
  <c r="H551" i="3"/>
  <c r="H553" i="3"/>
  <c r="H552" i="3"/>
  <c r="H549" i="3"/>
  <c r="H554" i="3"/>
  <c r="H547" i="3"/>
  <c r="H548" i="3"/>
  <c r="H544" i="3"/>
  <c r="H543" i="3"/>
  <c r="H542" i="3"/>
  <c r="H532" i="3"/>
  <c r="H530" i="3"/>
  <c r="H529" i="3"/>
  <c r="H526" i="3"/>
  <c r="H525" i="3"/>
  <c r="H524" i="3"/>
  <c r="H521" i="3"/>
  <c r="H520" i="3"/>
  <c r="H519" i="3"/>
  <c r="H535" i="3"/>
  <c r="H534" i="3"/>
  <c r="H533" i="3"/>
  <c r="H540" i="3"/>
  <c r="H539" i="3"/>
  <c r="H538" i="3"/>
  <c r="H516" i="3"/>
  <c r="H515" i="3"/>
  <c r="H514" i="3"/>
  <c r="H513" i="3"/>
  <c r="H511" i="3"/>
  <c r="H510" i="3"/>
  <c r="H509" i="3"/>
  <c r="H504" i="3"/>
  <c r="H502" i="3" s="1"/>
  <c r="O502" i="3" s="1"/>
  <c r="H506" i="3"/>
  <c r="H507" i="3" s="1"/>
  <c r="H505" i="3" s="1"/>
  <c r="O505" i="3" s="1"/>
  <c r="H501" i="3"/>
  <c r="H499" i="3" s="1"/>
  <c r="O499" i="3" s="1"/>
  <c r="H497" i="3"/>
  <c r="H496" i="3"/>
  <c r="H495" i="3"/>
  <c r="H494" i="3"/>
  <c r="H493" i="3"/>
  <c r="H490" i="3"/>
  <c r="H489" i="3"/>
  <c r="H488" i="3"/>
  <c r="H487" i="3"/>
  <c r="H486" i="3"/>
  <c r="H565" i="3"/>
  <c r="H566" i="3"/>
  <c r="H567" i="3"/>
  <c r="H568" i="3"/>
  <c r="H306" i="3"/>
  <c r="H305" i="3"/>
  <c r="H304" i="3"/>
  <c r="H303" i="3"/>
  <c r="H302" i="3"/>
  <c r="H562" i="3"/>
  <c r="H561" i="3"/>
  <c r="H560" i="3"/>
  <c r="H558" i="3"/>
  <c r="H559" i="3"/>
  <c r="H483" i="3"/>
  <c r="H484" i="3" s="1"/>
  <c r="H482" i="3" s="1"/>
  <c r="O482" i="3" s="1"/>
  <c r="H476" i="3"/>
  <c r="H477" i="3"/>
  <c r="H480" i="3"/>
  <c r="H481" i="3" s="1"/>
  <c r="H479" i="3" s="1"/>
  <c r="O479" i="3" s="1"/>
  <c r="H473" i="3"/>
  <c r="H472" i="3"/>
  <c r="H471" i="3"/>
  <c r="H470" i="3"/>
  <c r="H469" i="3"/>
  <c r="H468" i="3"/>
  <c r="H467" i="3"/>
  <c r="H466" i="3"/>
  <c r="H465" i="3"/>
  <c r="H464" i="3"/>
  <c r="H463" i="3"/>
  <c r="H460" i="3"/>
  <c r="H459" i="3"/>
  <c r="H458" i="3"/>
  <c r="H457" i="3"/>
  <c r="H456" i="3"/>
  <c r="H455" i="3"/>
  <c r="H454" i="3"/>
  <c r="H453" i="3"/>
  <c r="H452" i="3"/>
  <c r="H450" i="3"/>
  <c r="H478" i="7"/>
  <c r="H476" i="7" s="1"/>
  <c r="H475" i="7"/>
  <c r="H473" i="7" s="1"/>
  <c r="P473" i="7" s="1"/>
  <c r="H444" i="3"/>
  <c r="H445" i="3"/>
  <c r="H446" i="3"/>
  <c r="H447" i="3"/>
  <c r="H441" i="3"/>
  <c r="H440" i="3"/>
  <c r="H439" i="3"/>
  <c r="H438" i="3"/>
  <c r="H435" i="3"/>
  <c r="H434" i="3"/>
  <c r="H431" i="3"/>
  <c r="H430" i="3"/>
  <c r="H426" i="3"/>
  <c r="H427" i="3" s="1"/>
  <c r="H425" i="3" s="1"/>
  <c r="P425" i="3" s="1"/>
  <c r="H423" i="3"/>
  <c r="H422" i="3"/>
  <c r="H421" i="3"/>
  <c r="H420" i="3"/>
  <c r="H417" i="3"/>
  <c r="H418" i="3" s="1"/>
  <c r="H416" i="3" s="1"/>
  <c r="H569" i="3"/>
  <c r="H298" i="3"/>
  <c r="H296" i="3"/>
  <c r="H362" i="3"/>
  <c r="H360" i="3" s="1"/>
  <c r="J360" i="3" s="1"/>
  <c r="H413" i="3"/>
  <c r="H414" i="3" s="1"/>
  <c r="H412" i="3" s="1"/>
  <c r="H409" i="3"/>
  <c r="H406" i="3"/>
  <c r="H404" i="3"/>
  <c r="H397" i="3"/>
  <c r="H387" i="3"/>
  <c r="H401" i="3"/>
  <c r="H400" i="3"/>
  <c r="H399" i="3"/>
  <c r="H398" i="3"/>
  <c r="H396" i="3"/>
  <c r="H395" i="3"/>
  <c r="H392" i="3"/>
  <c r="H391" i="3"/>
  <c r="H390" i="3"/>
  <c r="H389" i="3"/>
  <c r="H386" i="3"/>
  <c r="H385" i="3"/>
  <c r="H367" i="3"/>
  <c r="H368" i="3" s="1"/>
  <c r="H366" i="3" s="1"/>
  <c r="J366" i="3" s="1"/>
  <c r="H364" i="3"/>
  <c r="H365" i="3" s="1"/>
  <c r="H363" i="3" s="1"/>
  <c r="P363" i="3" s="1"/>
  <c r="H358" i="3"/>
  <c r="H357" i="3"/>
  <c r="H356" i="3"/>
  <c r="H355" i="3"/>
  <c r="H354" i="3"/>
  <c r="H352" i="3"/>
  <c r="H351" i="3"/>
  <c r="H350" i="3"/>
  <c r="H347" i="3"/>
  <c r="H346" i="3"/>
  <c r="H345" i="3"/>
  <c r="H344" i="3"/>
  <c r="H343" i="3"/>
  <c r="H341" i="3"/>
  <c r="H340" i="3"/>
  <c r="H339" i="3"/>
  <c r="H238" i="3"/>
  <c r="H237" i="3"/>
  <c r="H236" i="3"/>
  <c r="H334" i="3"/>
  <c r="H336" i="3"/>
  <c r="H335" i="3"/>
  <c r="H330" i="3"/>
  <c r="H331" i="3" s="1"/>
  <c r="H329" i="3" s="1"/>
  <c r="H327" i="3"/>
  <c r="H326" i="3"/>
  <c r="H325" i="3"/>
  <c r="H319" i="3"/>
  <c r="H310" i="3"/>
  <c r="H312" i="3"/>
  <c r="H309" i="3"/>
  <c r="H488" i="7"/>
  <c r="H487" i="7"/>
  <c r="H486" i="7"/>
  <c r="H489" i="7"/>
  <c r="H293" i="3"/>
  <c r="H292" i="3"/>
  <c r="H291" i="3"/>
  <c r="H290" i="3"/>
  <c r="H289" i="3"/>
  <c r="H288" i="3"/>
  <c r="H287" i="3"/>
  <c r="H286" i="3"/>
  <c r="H285" i="3"/>
  <c r="H284" i="3"/>
  <c r="H283" i="3"/>
  <c r="H267" i="3"/>
  <c r="H266" i="3"/>
  <c r="H265" i="3"/>
  <c r="H264" i="3"/>
  <c r="H263" i="3"/>
  <c r="H262" i="3"/>
  <c r="H261" i="3"/>
  <c r="H260" i="3"/>
  <c r="H259" i="3"/>
  <c r="H258" i="3"/>
  <c r="H257" i="3"/>
  <c r="H251" i="3"/>
  <c r="H250" i="3"/>
  <c r="H249" i="3"/>
  <c r="H248" i="3"/>
  <c r="H247" i="3"/>
  <c r="H246" i="3"/>
  <c r="H245" i="3"/>
  <c r="H244" i="3"/>
  <c r="H243" i="3"/>
  <c r="H242" i="3"/>
  <c r="H241" i="3"/>
  <c r="H280" i="3"/>
  <c r="H279" i="3"/>
  <c r="H278" i="3"/>
  <c r="H277" i="3"/>
  <c r="H276" i="3"/>
  <c r="H275" i="3"/>
  <c r="H274" i="3"/>
  <c r="H273" i="3"/>
  <c r="H272" i="3"/>
  <c r="H271" i="3"/>
  <c r="H270" i="3"/>
  <c r="H333" i="3"/>
  <c r="H318" i="3"/>
  <c r="H220" i="3"/>
  <c r="H208" i="3"/>
  <c r="H233" i="3"/>
  <c r="H232" i="3"/>
  <c r="H231" i="3"/>
  <c r="H229" i="3"/>
  <c r="H228" i="3"/>
  <c r="H227" i="3"/>
  <c r="H226" i="3"/>
  <c r="H225" i="3"/>
  <c r="H223" i="3"/>
  <c r="H219" i="3"/>
  <c r="H218" i="3"/>
  <c r="H217" i="3"/>
  <c r="H216" i="3"/>
  <c r="H215" i="3"/>
  <c r="H214" i="3"/>
  <c r="H207" i="3"/>
  <c r="H206" i="3"/>
  <c r="H205" i="3"/>
  <c r="H202" i="3"/>
  <c r="H201" i="3"/>
  <c r="H204" i="3"/>
  <c r="H203" i="3"/>
  <c r="H213" i="3"/>
  <c r="H212" i="3"/>
  <c r="H211" i="3"/>
  <c r="H200" i="3"/>
  <c r="H199" i="3"/>
  <c r="H195" i="3"/>
  <c r="H194" i="3"/>
  <c r="H193" i="3"/>
  <c r="H192" i="3"/>
  <c r="H189" i="3"/>
  <c r="H188" i="3"/>
  <c r="H187" i="3"/>
  <c r="H186" i="3"/>
  <c r="H180" i="3"/>
  <c r="H181" i="3"/>
  <c r="H182" i="3"/>
  <c r="H183" i="3"/>
  <c r="H177" i="3"/>
  <c r="H176" i="3"/>
  <c r="H175" i="3"/>
  <c r="H124" i="3"/>
  <c r="H129" i="3"/>
  <c r="H134" i="3"/>
  <c r="H139" i="3"/>
  <c r="H174" i="3"/>
  <c r="H411" i="3" l="1"/>
  <c r="H408" i="3" s="1"/>
  <c r="H524" i="7"/>
  <c r="H520" i="7" s="1"/>
  <c r="O520" i="7" s="1"/>
  <c r="H556" i="3"/>
  <c r="H546" i="3" s="1"/>
  <c r="O546" i="3" s="1"/>
  <c r="H517" i="3"/>
  <c r="H508" i="3" s="1"/>
  <c r="O508" i="3" s="1"/>
  <c r="H536" i="3"/>
  <c r="H528" i="3" s="1"/>
  <c r="O528" i="3" s="1"/>
  <c r="H527" i="3"/>
  <c r="H518" i="3" s="1"/>
  <c r="O518" i="3" s="1"/>
  <c r="H545" i="3"/>
  <c r="H537" i="3" s="1"/>
  <c r="O537" i="3" s="1"/>
  <c r="H491" i="3"/>
  <c r="H485" i="3" s="1"/>
  <c r="J485" i="3" s="1"/>
  <c r="J505" i="3"/>
  <c r="J502" i="3"/>
  <c r="H498" i="3"/>
  <c r="H492" i="3" s="1"/>
  <c r="J492" i="3" s="1"/>
  <c r="H307" i="3"/>
  <c r="H301" i="3" s="1"/>
  <c r="P301" i="3" s="1"/>
  <c r="J499" i="3"/>
  <c r="J482" i="3"/>
  <c r="H478" i="3"/>
  <c r="H474" i="3"/>
  <c r="H462" i="3" s="1"/>
  <c r="O462" i="3" s="1"/>
  <c r="P476" i="7"/>
  <c r="J476" i="7"/>
  <c r="J473" i="7"/>
  <c r="H448" i="3"/>
  <c r="H443" i="3" s="1"/>
  <c r="O443" i="3" s="1"/>
  <c r="H442" i="3"/>
  <c r="H437" i="3" s="1"/>
  <c r="O437" i="3" s="1"/>
  <c r="H436" i="3"/>
  <c r="H433" i="3" s="1"/>
  <c r="O433" i="3" s="1"/>
  <c r="H432" i="3"/>
  <c r="H428" i="3" s="1"/>
  <c r="O428" i="3" s="1"/>
  <c r="H424" i="3"/>
  <c r="H419" i="3" s="1"/>
  <c r="P419" i="3" s="1"/>
  <c r="H461" i="3"/>
  <c r="H449" i="3" s="1"/>
  <c r="O449" i="3" s="1"/>
  <c r="H563" i="3"/>
  <c r="H557" i="3" s="1"/>
  <c r="O557" i="3" s="1"/>
  <c r="H570" i="3"/>
  <c r="H564" i="3" s="1"/>
  <c r="O564" i="3" s="1"/>
  <c r="J479" i="3"/>
  <c r="P416" i="3"/>
  <c r="J416" i="3"/>
  <c r="J425" i="3"/>
  <c r="H300" i="3"/>
  <c r="H295" i="3" s="1"/>
  <c r="J295" i="3" s="1"/>
  <c r="P360" i="3"/>
  <c r="J412" i="3"/>
  <c r="P412" i="3"/>
  <c r="H407" i="3"/>
  <c r="H403" i="3" s="1"/>
  <c r="H402" i="3"/>
  <c r="H394" i="3" s="1"/>
  <c r="J394" i="3" s="1"/>
  <c r="H393" i="3"/>
  <c r="H384" i="3" s="1"/>
  <c r="P384" i="3" s="1"/>
  <c r="H383" i="3"/>
  <c r="H373" i="3" s="1"/>
  <c r="J373" i="3" s="1"/>
  <c r="H359" i="3"/>
  <c r="H349" i="3" s="1"/>
  <c r="P349" i="3" s="1"/>
  <c r="H348" i="3"/>
  <c r="H338" i="3" s="1"/>
  <c r="J338" i="3" s="1"/>
  <c r="H239" i="3"/>
  <c r="H235" i="3" s="1"/>
  <c r="J235" i="3" s="1"/>
  <c r="H337" i="3"/>
  <c r="H332" i="3" s="1"/>
  <c r="P332" i="3" s="1"/>
  <c r="H320" i="3"/>
  <c r="H317" i="3" s="1"/>
  <c r="P317" i="3" s="1"/>
  <c r="H313" i="3"/>
  <c r="H315" i="3" s="1"/>
  <c r="H490" i="7"/>
  <c r="H485" i="7" s="1"/>
  <c r="P485" i="7" s="1"/>
  <c r="H294" i="3"/>
  <c r="H282" i="3" s="1"/>
  <c r="P282" i="3" s="1"/>
  <c r="H268" i="3"/>
  <c r="H256" i="3" s="1"/>
  <c r="P256" i="3" s="1"/>
  <c r="H252" i="3"/>
  <c r="H240" i="3" s="1"/>
  <c r="P240" i="3" s="1"/>
  <c r="H281" i="3"/>
  <c r="H269" i="3" s="1"/>
  <c r="J269" i="3" s="1"/>
  <c r="H328" i="3"/>
  <c r="H324" i="3" s="1"/>
  <c r="J324" i="3" s="1"/>
  <c r="P329" i="3"/>
  <c r="J329" i="3"/>
  <c r="H234" i="3"/>
  <c r="H222" i="3" s="1"/>
  <c r="J222" i="3" s="1"/>
  <c r="H221" i="3"/>
  <c r="H210" i="3" s="1"/>
  <c r="H209" i="3"/>
  <c r="H198" i="3" s="1"/>
  <c r="J198" i="3" s="1"/>
  <c r="P366" i="3"/>
  <c r="J363" i="3"/>
  <c r="H184" i="3"/>
  <c r="H179" i="3" s="1"/>
  <c r="J179" i="3" s="1"/>
  <c r="H196" i="3"/>
  <c r="H191" i="3" s="1"/>
  <c r="J191" i="3" s="1"/>
  <c r="H178" i="3"/>
  <c r="H173" i="3" s="1"/>
  <c r="P173" i="3" s="1"/>
  <c r="H190" i="3"/>
  <c r="H185" i="3" s="1"/>
  <c r="J185" i="3" s="1"/>
  <c r="P408" i="3" l="1"/>
  <c r="J408" i="3"/>
  <c r="J520" i="7"/>
  <c r="J546" i="3"/>
  <c r="J537" i="3"/>
  <c r="J528" i="3"/>
  <c r="J518" i="3"/>
  <c r="J508" i="3"/>
  <c r="O492" i="3"/>
  <c r="O485" i="3"/>
  <c r="J301" i="3"/>
  <c r="J462" i="3"/>
  <c r="J433" i="3"/>
  <c r="J443" i="3"/>
  <c r="J449" i="3"/>
  <c r="J437" i="3"/>
  <c r="J428" i="3"/>
  <c r="J419" i="3"/>
  <c r="J564" i="3"/>
  <c r="J557" i="3"/>
  <c r="P295" i="3"/>
  <c r="P394" i="3"/>
  <c r="J384" i="3"/>
  <c r="P373" i="3"/>
  <c r="J349" i="3"/>
  <c r="P338" i="3"/>
  <c r="P235" i="3"/>
  <c r="H322" i="3"/>
  <c r="H323" i="3" s="1"/>
  <c r="H321" i="3" s="1"/>
  <c r="J321" i="3" s="1"/>
  <c r="H308" i="3"/>
  <c r="P308" i="3" s="1"/>
  <c r="J282" i="3"/>
  <c r="J485" i="7"/>
  <c r="J256" i="3"/>
  <c r="J240" i="3"/>
  <c r="H316" i="3"/>
  <c r="H314" i="3" s="1"/>
  <c r="P314" i="3" s="1"/>
  <c r="J332" i="3"/>
  <c r="P324" i="3"/>
  <c r="J317" i="3"/>
  <c r="P269" i="3"/>
  <c r="P210" i="3"/>
  <c r="J210" i="3"/>
  <c r="P222" i="3"/>
  <c r="P198" i="3"/>
  <c r="P179" i="3"/>
  <c r="P191" i="3"/>
  <c r="P185" i="3"/>
  <c r="J173" i="3"/>
  <c r="P321" i="3" l="1"/>
  <c r="J308" i="3"/>
  <c r="J314" i="3"/>
  <c r="H171" i="3" l="1"/>
  <c r="H170" i="3"/>
  <c r="H169" i="3"/>
  <c r="H166" i="3"/>
  <c r="H165" i="3"/>
  <c r="H164" i="3"/>
  <c r="H161" i="3"/>
  <c r="H160" i="3"/>
  <c r="H159" i="3"/>
  <c r="H156" i="3"/>
  <c r="H155" i="3"/>
  <c r="H154" i="3"/>
  <c r="H151" i="3"/>
  <c r="H150" i="3"/>
  <c r="H149" i="3"/>
  <c r="H146" i="3"/>
  <c r="H145" i="3"/>
  <c r="H144" i="3"/>
  <c r="H140" i="3"/>
  <c r="H135" i="3"/>
  <c r="H130" i="3"/>
  <c r="H125" i="3"/>
  <c r="H120" i="3"/>
  <c r="H138" i="3"/>
  <c r="H133" i="3"/>
  <c r="H128" i="3"/>
  <c r="H123" i="3"/>
  <c r="H109" i="3"/>
  <c r="H115" i="3"/>
  <c r="H114" i="3"/>
  <c r="H112" i="3"/>
  <c r="H118" i="3"/>
  <c r="H167" i="3" l="1"/>
  <c r="H163" i="3" s="1"/>
  <c r="P163" i="3" s="1"/>
  <c r="H172" i="3"/>
  <c r="H168" i="3" s="1"/>
  <c r="P168" i="3" s="1"/>
  <c r="H157" i="3"/>
  <c r="H153" i="3" s="1"/>
  <c r="J153" i="3" s="1"/>
  <c r="H147" i="3"/>
  <c r="H143" i="3" s="1"/>
  <c r="P143" i="3" s="1"/>
  <c r="H162" i="3"/>
  <c r="H158" i="3" s="1"/>
  <c r="P158" i="3" s="1"/>
  <c r="H152" i="3"/>
  <c r="H148" i="3" s="1"/>
  <c r="P148" i="3" s="1"/>
  <c r="H141" i="3"/>
  <c r="H137" i="3" s="1"/>
  <c r="J137" i="3" s="1"/>
  <c r="H136" i="3"/>
  <c r="H132" i="3" s="1"/>
  <c r="J132" i="3" s="1"/>
  <c r="H131" i="3"/>
  <c r="H127" i="3" s="1"/>
  <c r="P127" i="3" s="1"/>
  <c r="H126" i="3"/>
  <c r="H121" i="3"/>
  <c r="H117" i="3" s="1"/>
  <c r="P117" i="3" s="1"/>
  <c r="P153" i="3" l="1"/>
  <c r="J163" i="3"/>
  <c r="J168" i="3"/>
  <c r="J143" i="3"/>
  <c r="J158" i="3"/>
  <c r="J148" i="3"/>
  <c r="P137" i="3"/>
  <c r="P132" i="3"/>
  <c r="J127" i="3"/>
  <c r="H110" i="3" l="1"/>
  <c r="H108" i="3"/>
  <c r="H116" i="3" l="1"/>
  <c r="H107" i="3" s="1"/>
  <c r="P107" i="3" s="1"/>
  <c r="H324" i="7"/>
  <c r="H314" i="7" s="1"/>
  <c r="P314" i="7" s="1"/>
  <c r="J314" i="7" l="1"/>
  <c r="H1282" i="7"/>
  <c r="H1281" i="7"/>
  <c r="H1280" i="7"/>
  <c r="H1279" i="7"/>
  <c r="H1278" i="7"/>
  <c r="H1277" i="7"/>
  <c r="H1275" i="7"/>
  <c r="H1274" i="7"/>
  <c r="H1273" i="7"/>
  <c r="H1272" i="7"/>
  <c r="H1271" i="7"/>
  <c r="H1270" i="7"/>
  <c r="H1269" i="7"/>
  <c r="H1266" i="7"/>
  <c r="H1265" i="7"/>
  <c r="H1264" i="7"/>
  <c r="H1262" i="7"/>
  <c r="H1237" i="7"/>
  <c r="H1236" i="7"/>
  <c r="H1235" i="7"/>
  <c r="H1258" i="7"/>
  <c r="H1256" i="7" s="1"/>
  <c r="H1255" i="7"/>
  <c r="H1253" i="7" s="1"/>
  <c r="H1252" i="7"/>
  <c r="H1250" i="7" s="1"/>
  <c r="J1250" i="7" s="1"/>
  <c r="H1249" i="7"/>
  <c r="H1247" i="7" s="1"/>
  <c r="H1243" i="7"/>
  <c r="H1242" i="7"/>
  <c r="H1241" i="7"/>
  <c r="H1231" i="7"/>
  <c r="H1230" i="7"/>
  <c r="H1229" i="7"/>
  <c r="H1216" i="7"/>
  <c r="H1210" i="7"/>
  <c r="H1217" i="7"/>
  <c r="H1211" i="7"/>
  <c r="H1223" i="7"/>
  <c r="H1224" i="7"/>
  <c r="H1219" i="7"/>
  <c r="H1218" i="7"/>
  <c r="H1213" i="7"/>
  <c r="H1212" i="7"/>
  <c r="H1205" i="7"/>
  <c r="H1206" i="7" s="1"/>
  <c r="H1204" i="7" s="1"/>
  <c r="H301" i="7"/>
  <c r="H300" i="7"/>
  <c r="H297" i="7"/>
  <c r="H296" i="7"/>
  <c r="H287" i="7"/>
  <c r="H283" i="7"/>
  <c r="H282" i="7"/>
  <c r="H1202" i="7"/>
  <c r="H1201" i="7"/>
  <c r="H1199" i="7"/>
  <c r="H1198" i="7"/>
  <c r="H1197" i="7"/>
  <c r="H292" i="7" l="1"/>
  <c r="H1203" i="7"/>
  <c r="H1194" i="7" s="1"/>
  <c r="J1194" i="7" s="1"/>
  <c r="H279" i="7"/>
  <c r="H1324" i="7"/>
  <c r="H1317" i="7" s="1"/>
  <c r="H1325" i="7"/>
  <c r="H1315" i="7"/>
  <c r="H1308" i="7" s="1"/>
  <c r="J1308" i="7" s="1"/>
  <c r="H1307" i="7"/>
  <c r="H1300" i="7" s="1"/>
  <c r="J1300" i="7" s="1"/>
  <c r="H1299" i="7"/>
  <c r="H1292" i="7" s="1"/>
  <c r="J1292" i="7" s="1"/>
  <c r="H1284" i="7"/>
  <c r="J1284" i="7" s="1"/>
  <c r="H1283" i="7"/>
  <c r="H1261" i="7" s="1"/>
  <c r="H1238" i="7"/>
  <c r="H1233" i="7" s="1"/>
  <c r="J1233" i="7" s="1"/>
  <c r="H1244" i="7"/>
  <c r="H1239" i="7" s="1"/>
  <c r="J1239" i="7" s="1"/>
  <c r="H1232" i="7"/>
  <c r="H1227" i="7" s="1"/>
  <c r="J1227" i="7" s="1"/>
  <c r="H1214" i="7"/>
  <c r="H1209" i="7" s="1"/>
  <c r="H1220" i="7"/>
  <c r="H1215" i="7" s="1"/>
  <c r="J1215" i="7" s="1"/>
  <c r="H1226" i="7"/>
  <c r="H1221" i="7" s="1"/>
  <c r="J1221" i="7" s="1"/>
  <c r="H303" i="7"/>
  <c r="P303" i="7" s="1"/>
  <c r="H302" i="7"/>
  <c r="H293" i="7" s="1"/>
  <c r="J1261" i="7" l="1"/>
  <c r="J1260" i="7" s="1"/>
  <c r="J303" i="7"/>
  <c r="J279" i="7"/>
  <c r="P279" i="7"/>
  <c r="J293" i="7"/>
  <c r="P293" i="7"/>
  <c r="H506" i="7" l="1"/>
  <c r="H504" i="7" s="1"/>
  <c r="O504" i="7" s="1"/>
  <c r="H1145" i="7"/>
  <c r="H1144" i="7"/>
  <c r="H1139" i="7"/>
  <c r="H1142" i="7" s="1"/>
  <c r="H1136" i="7"/>
  <c r="H1132" i="7"/>
  <c r="H1134" i="7" s="1"/>
  <c r="H1128" i="7"/>
  <c r="H1109" i="7"/>
  <c r="H1105" i="7"/>
  <c r="H1104" i="7"/>
  <c r="H1100" i="7"/>
  <c r="H1101" i="7"/>
  <c r="H1097" i="7"/>
  <c r="H1096" i="7"/>
  <c r="H1093" i="7"/>
  <c r="H1092" i="7"/>
  <c r="BI1081" i="7"/>
  <c r="BH1081" i="7"/>
  <c r="BG1081" i="7"/>
  <c r="BF1081" i="7"/>
  <c r="BI1075" i="7"/>
  <c r="BH1075" i="7"/>
  <c r="BG1075" i="7"/>
  <c r="BF1075" i="7"/>
  <c r="BE1075" i="7"/>
  <c r="H1074" i="7"/>
  <c r="H1072" i="7" s="1"/>
  <c r="H1068" i="7"/>
  <c r="H396" i="7"/>
  <c r="H394" i="7" s="1"/>
  <c r="J394" i="7" s="1"/>
  <c r="BE394" i="7" s="1"/>
  <c r="H393" i="7"/>
  <c r="H391" i="7" s="1"/>
  <c r="P391" i="7" s="1"/>
  <c r="BI394" i="7"/>
  <c r="BH394" i="7"/>
  <c r="BG394" i="7"/>
  <c r="BF394" i="7"/>
  <c r="BI391" i="7"/>
  <c r="BH391" i="7"/>
  <c r="BG391" i="7"/>
  <c r="BF391" i="7"/>
  <c r="J504" i="7" l="1"/>
  <c r="H1146" i="7"/>
  <c r="H1143" i="7" s="1"/>
  <c r="H1138" i="7"/>
  <c r="H1137" i="7"/>
  <c r="H1135" i="7" s="1"/>
  <c r="H1131" i="7"/>
  <c r="H1130" i="7"/>
  <c r="H1127" i="7" s="1"/>
  <c r="H1126" i="7"/>
  <c r="H1123" i="7" s="1"/>
  <c r="H1106" i="7"/>
  <c r="H1103" i="7" s="1"/>
  <c r="H1102" i="7"/>
  <c r="H1099" i="7" s="1"/>
  <c r="H1098" i="7"/>
  <c r="H1095" i="7" s="1"/>
  <c r="H1094" i="7"/>
  <c r="H1091" i="7" s="1"/>
  <c r="H1087" i="7"/>
  <c r="H1067" i="7"/>
  <c r="H1060" i="7" s="1"/>
  <c r="H1080" i="7"/>
  <c r="H1075" i="7" s="1"/>
  <c r="J1075" i="7" s="1"/>
  <c r="H1086" i="7"/>
  <c r="H1081" i="7" s="1"/>
  <c r="BK1081" i="7" s="1"/>
  <c r="P394" i="7"/>
  <c r="BK394" i="7"/>
  <c r="J391" i="7"/>
  <c r="BE391" i="7" s="1"/>
  <c r="BK391" i="7"/>
  <c r="BK1075" i="7" l="1"/>
  <c r="J1081" i="7"/>
  <c r="BE1081" i="7" s="1"/>
  <c r="H1042" i="7" l="1"/>
  <c r="H1040" i="7" s="1"/>
  <c r="J1040" i="7" s="1"/>
  <c r="H1045" i="7"/>
  <c r="H1043" i="7" s="1"/>
  <c r="H1057" i="7"/>
  <c r="H1058" i="7" s="1"/>
  <c r="H1056" i="7" s="1"/>
  <c r="H1054" i="7"/>
  <c r="H1055" i="7" s="1"/>
  <c r="H1053" i="7" s="1"/>
  <c r="H1051" i="7"/>
  <c r="H1052" i="7" s="1"/>
  <c r="H1050" i="7" s="1"/>
  <c r="H1033" i="7"/>
  <c r="H1036" i="7" s="1"/>
  <c r="H1025" i="7"/>
  <c r="H1020" i="7"/>
  <c r="H1023" i="7" s="1"/>
  <c r="H1012" i="7"/>
  <c r="H1010" i="7" s="1"/>
  <c r="J1010" i="7" s="1"/>
  <c r="H721" i="7"/>
  <c r="H722" i="7" s="1"/>
  <c r="H720" i="7" s="1"/>
  <c r="J720" i="7" s="1"/>
  <c r="H1039" i="7" l="1"/>
  <c r="H1037" i="7" s="1"/>
  <c r="J1043" i="7"/>
  <c r="J1050" i="7"/>
  <c r="J1053" i="7"/>
  <c r="H1032" i="7"/>
  <c r="J1032" i="7" s="1"/>
  <c r="H1028" i="7"/>
  <c r="H1024" i="7" s="1"/>
  <c r="J1024" i="7" s="1"/>
  <c r="H1030" i="7"/>
  <c r="H1031" i="7" s="1"/>
  <c r="H1029" i="7" s="1"/>
  <c r="J1029" i="7" s="1"/>
  <c r="J1037" i="7" l="1"/>
  <c r="H1019" i="7"/>
  <c r="J1019" i="7" s="1"/>
  <c r="H999" i="7"/>
  <c r="H1000" i="7" s="1"/>
  <c r="H998" i="7" s="1"/>
  <c r="O998" i="7" s="1"/>
  <c r="H996" i="7"/>
  <c r="H997" i="7" s="1"/>
  <c r="H995" i="7" s="1"/>
  <c r="O995" i="7" s="1"/>
  <c r="H993" i="7"/>
  <c r="H994" i="7" s="1"/>
  <c r="H992" i="7" s="1"/>
  <c r="O992" i="7" s="1"/>
  <c r="H990" i="7"/>
  <c r="H991" i="7" s="1"/>
  <c r="H989" i="7" s="1"/>
  <c r="O989" i="7" s="1"/>
  <c r="H985" i="7"/>
  <c r="H986" i="7" s="1"/>
  <c r="H984" i="7" s="1"/>
  <c r="J984" i="7" s="1"/>
  <c r="H982" i="7"/>
  <c r="H983" i="7" s="1"/>
  <c r="H981" i="7" s="1"/>
  <c r="J981" i="7" s="1"/>
  <c r="H969" i="7"/>
  <c r="H970" i="7" s="1"/>
  <c r="H968" i="7" s="1"/>
  <c r="H972" i="7"/>
  <c r="H973" i="7"/>
  <c r="H974" i="7"/>
  <c r="H975" i="7"/>
  <c r="H978" i="7"/>
  <c r="H976" i="7"/>
  <c r="H977" i="7"/>
  <c r="H979" i="7"/>
  <c r="H966" i="7"/>
  <c r="H967" i="7" s="1"/>
  <c r="H965" i="7" s="1"/>
  <c r="H963" i="7"/>
  <c r="H964" i="7" s="1"/>
  <c r="H962" i="7" s="1"/>
  <c r="J962" i="7" s="1"/>
  <c r="H960" i="7"/>
  <c r="H961" i="7" s="1"/>
  <c r="H959" i="7" s="1"/>
  <c r="J959" i="7" s="1"/>
  <c r="H957" i="7"/>
  <c r="H958" i="7" s="1"/>
  <c r="H956" i="7" s="1"/>
  <c r="J956" i="7" s="1"/>
  <c r="H954" i="7"/>
  <c r="H955" i="7" s="1"/>
  <c r="H953" i="7" s="1"/>
  <c r="J953" i="7" s="1"/>
  <c r="H951" i="7"/>
  <c r="H952" i="7" s="1"/>
  <c r="H950" i="7" s="1"/>
  <c r="J950" i="7" s="1"/>
  <c r="H948" i="7"/>
  <c r="H949" i="7" s="1"/>
  <c r="H947" i="7" s="1"/>
  <c r="J947" i="7" s="1"/>
  <c r="H945" i="7"/>
  <c r="H946" i="7" s="1"/>
  <c r="H944" i="7" s="1"/>
  <c r="J944" i="7" s="1"/>
  <c r="H942" i="7"/>
  <c r="H943" i="7" s="1"/>
  <c r="H941" i="7" s="1"/>
  <c r="J941" i="7" s="1"/>
  <c r="H939" i="7"/>
  <c r="H940" i="7" s="1"/>
  <c r="H938" i="7" s="1"/>
  <c r="J938" i="7" s="1"/>
  <c r="H936" i="7"/>
  <c r="H937" i="7" s="1"/>
  <c r="H935" i="7" s="1"/>
  <c r="J935" i="7" s="1"/>
  <c r="H933" i="7"/>
  <c r="H934" i="7" s="1"/>
  <c r="H932" i="7" s="1"/>
  <c r="J932" i="7" s="1"/>
  <c r="H930" i="7"/>
  <c r="H931" i="7" s="1"/>
  <c r="H929" i="7" s="1"/>
  <c r="J929" i="7" s="1"/>
  <c r="H927" i="7"/>
  <c r="H928" i="7" s="1"/>
  <c r="H926" i="7" s="1"/>
  <c r="J926" i="7" s="1"/>
  <c r="H924" i="7"/>
  <c r="H925" i="7" s="1"/>
  <c r="H923" i="7" s="1"/>
  <c r="J923" i="7" s="1"/>
  <c r="H918" i="7"/>
  <c r="H919" i="7" s="1"/>
  <c r="H917" i="7" s="1"/>
  <c r="J917" i="7" s="1"/>
  <c r="H915" i="7"/>
  <c r="H916" i="7" s="1"/>
  <c r="H914" i="7" s="1"/>
  <c r="J914" i="7" s="1"/>
  <c r="H912" i="7"/>
  <c r="H913" i="7" s="1"/>
  <c r="H911" i="7" s="1"/>
  <c r="J911" i="7" s="1"/>
  <c r="H909" i="7"/>
  <c r="H908" i="7"/>
  <c r="H921" i="7"/>
  <c r="H922" i="7" s="1"/>
  <c r="H920" i="7" s="1"/>
  <c r="J920" i="7" s="1"/>
  <c r="H905" i="7"/>
  <c r="H906" i="7" s="1"/>
  <c r="H904" i="7" s="1"/>
  <c r="J904" i="7" s="1"/>
  <c r="H902" i="7"/>
  <c r="H903" i="7" s="1"/>
  <c r="H901" i="7" s="1"/>
  <c r="J901" i="7" s="1"/>
  <c r="H899" i="7"/>
  <c r="H900" i="7" s="1"/>
  <c r="H898" i="7" s="1"/>
  <c r="J898" i="7" s="1"/>
  <c r="H896" i="7"/>
  <c r="H897" i="7" s="1"/>
  <c r="H895" i="7" s="1"/>
  <c r="J895" i="7" s="1"/>
  <c r="H893" i="7"/>
  <c r="H894" i="7" s="1"/>
  <c r="H892" i="7" s="1"/>
  <c r="J892" i="7" s="1"/>
  <c r="H890" i="7"/>
  <c r="H891" i="7" s="1"/>
  <c r="H889" i="7" s="1"/>
  <c r="J889" i="7" s="1"/>
  <c r="H887" i="7"/>
  <c r="H886" i="7"/>
  <c r="H883" i="7"/>
  <c r="H884" i="7" s="1"/>
  <c r="H880" i="7"/>
  <c r="H881" i="7" s="1"/>
  <c r="H879" i="7" s="1"/>
  <c r="H875" i="7"/>
  <c r="H876" i="7" s="1"/>
  <c r="H874" i="7" s="1"/>
  <c r="J874" i="7" s="1"/>
  <c r="H872" i="7"/>
  <c r="H873" i="7" s="1"/>
  <c r="H871" i="7" s="1"/>
  <c r="J871" i="7" s="1"/>
  <c r="H869" i="7"/>
  <c r="H870" i="7" s="1"/>
  <c r="H868" i="7" s="1"/>
  <c r="J868" i="7" s="1"/>
  <c r="H866" i="7"/>
  <c r="H867" i="7" s="1"/>
  <c r="H865" i="7" s="1"/>
  <c r="J865" i="7" s="1"/>
  <c r="H863" i="7"/>
  <c r="H864" i="7" s="1"/>
  <c r="H862" i="7" s="1"/>
  <c r="J862" i="7" s="1"/>
  <c r="H860" i="7"/>
  <c r="H861" i="7" s="1"/>
  <c r="H851" i="7"/>
  <c r="H852" i="7" s="1"/>
  <c r="H850" i="7" s="1"/>
  <c r="J850" i="7" s="1"/>
  <c r="H848" i="7"/>
  <c r="H849" i="7" s="1"/>
  <c r="H847" i="7" s="1"/>
  <c r="J847" i="7" s="1"/>
  <c r="H845" i="7"/>
  <c r="H846" i="7" s="1"/>
  <c r="H844" i="7" s="1"/>
  <c r="J844" i="7" s="1"/>
  <c r="H854" i="7"/>
  <c r="H855" i="7" s="1"/>
  <c r="H853" i="7" s="1"/>
  <c r="J853" i="7" s="1"/>
  <c r="H857" i="7"/>
  <c r="H858" i="7" s="1"/>
  <c r="H842" i="7"/>
  <c r="H843" i="7" s="1"/>
  <c r="H841" i="7" s="1"/>
  <c r="J841" i="7" s="1"/>
  <c r="H839" i="7"/>
  <c r="H840" i="7" s="1"/>
  <c r="H838" i="7" s="1"/>
  <c r="J838" i="7" s="1"/>
  <c r="H836" i="7"/>
  <c r="H837" i="7" s="1"/>
  <c r="H835" i="7" s="1"/>
  <c r="J835" i="7" s="1"/>
  <c r="H833" i="7"/>
  <c r="H834" i="7" s="1"/>
  <c r="H832" i="7" s="1"/>
  <c r="J832" i="7" s="1"/>
  <c r="H830" i="7"/>
  <c r="H831" i="7" s="1"/>
  <c r="H829" i="7" s="1"/>
  <c r="J829" i="7" s="1"/>
  <c r="H821" i="7"/>
  <c r="H822" i="7" s="1"/>
  <c r="H820" i="7" s="1"/>
  <c r="J820" i="7" s="1"/>
  <c r="H818" i="7"/>
  <c r="H819" i="7" s="1"/>
  <c r="H817" i="7" s="1"/>
  <c r="J817" i="7" s="1"/>
  <c r="H827" i="7"/>
  <c r="H828" i="7" s="1"/>
  <c r="H826" i="7" s="1"/>
  <c r="J826" i="7" s="1"/>
  <c r="H824" i="7"/>
  <c r="H825" i="7" s="1"/>
  <c r="H823" i="7" s="1"/>
  <c r="J823" i="7" s="1"/>
  <c r="H815" i="7"/>
  <c r="H816" i="7" s="1"/>
  <c r="H814" i="7" s="1"/>
  <c r="J814" i="7" s="1"/>
  <c r="H812" i="7"/>
  <c r="H813" i="7" s="1"/>
  <c r="H811" i="7" s="1"/>
  <c r="J811" i="7" s="1"/>
  <c r="H809" i="7"/>
  <c r="H810" i="7" s="1"/>
  <c r="H808" i="7" s="1"/>
  <c r="J808" i="7" s="1"/>
  <c r="H806" i="7"/>
  <c r="H807" i="7" s="1"/>
  <c r="H805" i="7" s="1"/>
  <c r="J805" i="7" s="1"/>
  <c r="H803" i="7"/>
  <c r="H804" i="7" s="1"/>
  <c r="H802" i="7" s="1"/>
  <c r="J802" i="7" s="1"/>
  <c r="H746" i="7"/>
  <c r="H747" i="7" s="1"/>
  <c r="H745" i="7" s="1"/>
  <c r="J745" i="7" s="1"/>
  <c r="H761" i="7"/>
  <c r="H762" i="7" s="1"/>
  <c r="H760" i="7" s="1"/>
  <c r="J760" i="7" s="1"/>
  <c r="H737" i="7"/>
  <c r="H738" i="7" s="1"/>
  <c r="H736" i="7" s="1"/>
  <c r="J736" i="7" s="1"/>
  <c r="H801" i="7"/>
  <c r="H799" i="7" s="1"/>
  <c r="J799" i="7" s="1"/>
  <c r="H764" i="7"/>
  <c r="H765" i="7" s="1"/>
  <c r="H763" i="7" s="1"/>
  <c r="J763" i="7" s="1"/>
  <c r="H758" i="7"/>
  <c r="H759" i="7" s="1"/>
  <c r="H757" i="7" s="1"/>
  <c r="J757" i="7" s="1"/>
  <c r="H755" i="7"/>
  <c r="H756" i="7" s="1"/>
  <c r="H754" i="7" s="1"/>
  <c r="J754" i="7" s="1"/>
  <c r="H752" i="7"/>
  <c r="H753" i="7" s="1"/>
  <c r="H751" i="7" s="1"/>
  <c r="J751" i="7" s="1"/>
  <c r="H794" i="7"/>
  <c r="H795" i="7" s="1"/>
  <c r="H793" i="7" s="1"/>
  <c r="J793" i="7" s="1"/>
  <c r="H791" i="7"/>
  <c r="H792" i="7" s="1"/>
  <c r="H790" i="7" s="1"/>
  <c r="J790" i="7" s="1"/>
  <c r="H788" i="7"/>
  <c r="H789" i="7" s="1"/>
  <c r="H787" i="7" s="1"/>
  <c r="J787" i="7" s="1"/>
  <c r="H785" i="7"/>
  <c r="H786" i="7" s="1"/>
  <c r="H784" i="7" s="1"/>
  <c r="J784" i="7" s="1"/>
  <c r="H782" i="7"/>
  <c r="H783" i="7" s="1"/>
  <c r="H781" i="7" s="1"/>
  <c r="J781" i="7" s="1"/>
  <c r="H779" i="7"/>
  <c r="H780" i="7" s="1"/>
  <c r="H778" i="7" s="1"/>
  <c r="J778" i="7" s="1"/>
  <c r="H776" i="7"/>
  <c r="H777" i="7" s="1"/>
  <c r="H775" i="7" s="1"/>
  <c r="J775" i="7" s="1"/>
  <c r="H774" i="7"/>
  <c r="H772" i="7" s="1"/>
  <c r="J772" i="7" s="1"/>
  <c r="H771" i="7"/>
  <c r="H769" i="7" s="1"/>
  <c r="J769" i="7" s="1"/>
  <c r="H767" i="7"/>
  <c r="H768" i="7" s="1"/>
  <c r="H766" i="7" s="1"/>
  <c r="J766" i="7" s="1"/>
  <c r="H740" i="7"/>
  <c r="H741" i="7" s="1"/>
  <c r="H739" i="7" s="1"/>
  <c r="J739" i="7" s="1"/>
  <c r="H731" i="7"/>
  <c r="H732" i="7" s="1"/>
  <c r="H730" i="7" s="1"/>
  <c r="H743" i="7"/>
  <c r="H744" i="7" s="1"/>
  <c r="H742" i="7" s="1"/>
  <c r="J742" i="7" s="1"/>
  <c r="H734" i="7"/>
  <c r="H735" i="7" s="1"/>
  <c r="H733" i="7" s="1"/>
  <c r="H727" i="7"/>
  <c r="H728" i="7" s="1"/>
  <c r="H726" i="7" s="1"/>
  <c r="H724" i="7"/>
  <c r="H725" i="7" s="1"/>
  <c r="H723" i="7" s="1"/>
  <c r="H717" i="7"/>
  <c r="H718" i="7" s="1"/>
  <c r="H716" i="7" s="1"/>
  <c r="H708" i="7"/>
  <c r="H711" i="7" s="1"/>
  <c r="H699" i="7"/>
  <c r="H700" i="7" s="1"/>
  <c r="H698" i="7" s="1"/>
  <c r="J698" i="7" s="1"/>
  <c r="H696" i="7"/>
  <c r="H697" i="7" s="1"/>
  <c r="H695" i="7" s="1"/>
  <c r="H693" i="7"/>
  <c r="H694" i="7" s="1"/>
  <c r="H692" i="7" s="1"/>
  <c r="H690" i="7"/>
  <c r="H691" i="7" s="1"/>
  <c r="H689" i="7" s="1"/>
  <c r="H684" i="7"/>
  <c r="H682" i="7" s="1"/>
  <c r="H671" i="7"/>
  <c r="H672" i="7" s="1"/>
  <c r="H670" i="7" s="1"/>
  <c r="H668" i="7"/>
  <c r="H669" i="7" s="1"/>
  <c r="H667" i="7" s="1"/>
  <c r="J667" i="7" s="1"/>
  <c r="H665" i="7"/>
  <c r="H666" i="7" s="1"/>
  <c r="H664" i="7" s="1"/>
  <c r="J664" i="7" s="1"/>
  <c r="H661" i="7"/>
  <c r="H657" i="7"/>
  <c r="H655" i="7"/>
  <c r="H653" i="7" s="1"/>
  <c r="J653" i="7" s="1"/>
  <c r="H652" i="7"/>
  <c r="H644" i="7"/>
  <c r="H645" i="7" s="1"/>
  <c r="H643" i="7" s="1"/>
  <c r="J643" i="7" s="1"/>
  <c r="H642" i="7"/>
  <c r="H640" i="7" s="1"/>
  <c r="J640" i="7" s="1"/>
  <c r="H639" i="7"/>
  <c r="H637" i="7" s="1"/>
  <c r="J637" i="7" s="1"/>
  <c r="H636" i="7"/>
  <c r="H634" i="7" s="1"/>
  <c r="J634" i="7" s="1"/>
  <c r="H663" i="7" l="1"/>
  <c r="H660" i="7" s="1"/>
  <c r="H659" i="7"/>
  <c r="H656" i="7" s="1"/>
  <c r="H1047" i="7"/>
  <c r="J1047" i="7" s="1"/>
  <c r="H1002" i="7"/>
  <c r="H1003" i="7" s="1"/>
  <c r="J965" i="7"/>
  <c r="J968" i="7"/>
  <c r="H980" i="7"/>
  <c r="H910" i="7"/>
  <c r="H907" i="7" s="1"/>
  <c r="J907" i="7" s="1"/>
  <c r="H888" i="7"/>
  <c r="H885" i="7" s="1"/>
  <c r="J885" i="7" s="1"/>
  <c r="H796" i="7"/>
  <c r="H856" i="7"/>
  <c r="J856" i="7" s="1"/>
  <c r="H859" i="7"/>
  <c r="J859" i="7" s="1"/>
  <c r="H707" i="7"/>
  <c r="O664" i="7"/>
  <c r="O667" i="7"/>
  <c r="H630" i="7"/>
  <c r="J630" i="7" s="1"/>
  <c r="H595" i="7"/>
  <c r="H592" i="7" s="1"/>
  <c r="J592" i="7" s="1"/>
  <c r="H646" i="7" l="1"/>
  <c r="J646" i="7" s="1"/>
  <c r="J629" i="7" s="1"/>
  <c r="J796" i="7"/>
  <c r="H797" i="7" s="1"/>
  <c r="J797" i="7" s="1"/>
  <c r="H1001" i="7"/>
  <c r="J1001" i="7" s="1"/>
  <c r="H1005" i="7"/>
  <c r="H1006" i="7" s="1"/>
  <c r="H1004" i="7" s="1"/>
  <c r="J1004" i="7" s="1"/>
  <c r="H1008" i="7"/>
  <c r="H971" i="7"/>
  <c r="J971" i="7" s="1"/>
  <c r="H877" i="7"/>
  <c r="J877" i="7" s="1"/>
  <c r="H674" i="7"/>
  <c r="H1009" i="7" l="1"/>
  <c r="H1007" i="7" s="1"/>
  <c r="J1007" i="7" s="1"/>
  <c r="H1014" i="7"/>
  <c r="H1015" i="7" s="1"/>
  <c r="H1013" i="7" s="1"/>
  <c r="J1013" i="7" s="1"/>
  <c r="H617" i="7"/>
  <c r="H619" i="7" s="1"/>
  <c r="H624" i="7"/>
  <c r="J624" i="7" s="1"/>
  <c r="H613" i="7"/>
  <c r="H601" i="7"/>
  <c r="H599" i="7" s="1"/>
  <c r="J599" i="7" s="1"/>
  <c r="H591" i="7"/>
  <c r="H589" i="7" s="1"/>
  <c r="J589" i="7" s="1"/>
  <c r="H598" i="7"/>
  <c r="H596" i="7" s="1"/>
  <c r="J596" i="7" s="1"/>
  <c r="H588" i="7"/>
  <c r="H586" i="7" s="1"/>
  <c r="H552" i="7"/>
  <c r="H553" i="7" s="1"/>
  <c r="H551" i="7" s="1"/>
  <c r="O551" i="7" s="1"/>
  <c r="H549" i="7"/>
  <c r="H550" i="7" s="1"/>
  <c r="H548" i="7" s="1"/>
  <c r="O548" i="7" s="1"/>
  <c r="H555" i="7"/>
  <c r="H556" i="7"/>
  <c r="H562" i="7"/>
  <c r="H563" i="7"/>
  <c r="H565" i="7"/>
  <c r="H566" i="7"/>
  <c r="H564" i="7"/>
  <c r="H559" i="7"/>
  <c r="H558" i="7"/>
  <c r="H557" i="7"/>
  <c r="H546" i="7"/>
  <c r="H547" i="7" s="1"/>
  <c r="H545" i="7" s="1"/>
  <c r="O545" i="7" s="1"/>
  <c r="H543" i="7"/>
  <c r="H544" i="7" s="1"/>
  <c r="H542" i="7" s="1"/>
  <c r="J542" i="7" s="1"/>
  <c r="H534" i="7"/>
  <c r="H532" i="7"/>
  <c r="H540" i="7"/>
  <c r="H527" i="7"/>
  <c r="H526" i="7"/>
  <c r="H508" i="7"/>
  <c r="H518" i="7"/>
  <c r="H517" i="7"/>
  <c r="H514" i="7"/>
  <c r="H515" i="7" s="1"/>
  <c r="H513" i="7" s="1"/>
  <c r="J513" i="7" s="1"/>
  <c r="H511" i="7"/>
  <c r="H512" i="7" s="1"/>
  <c r="H510" i="7" s="1"/>
  <c r="J510" i="7" s="1"/>
  <c r="H502" i="7"/>
  <c r="H498" i="7"/>
  <c r="H499" i="7" s="1"/>
  <c r="H497" i="7" s="1"/>
  <c r="P497" i="7" s="1"/>
  <c r="H495" i="7"/>
  <c r="H496" i="7" s="1"/>
  <c r="H494" i="7" s="1"/>
  <c r="P494" i="7" s="1"/>
  <c r="H492" i="7"/>
  <c r="H493" i="7" s="1"/>
  <c r="H491" i="7" s="1"/>
  <c r="P491" i="7" s="1"/>
  <c r="H483" i="7"/>
  <c r="H484" i="7" s="1"/>
  <c r="H482" i="7" s="1"/>
  <c r="P482" i="7" s="1"/>
  <c r="H480" i="7"/>
  <c r="H481" i="7" s="1"/>
  <c r="H479" i="7" s="1"/>
  <c r="J479" i="7" s="1"/>
  <c r="H466" i="7"/>
  <c r="H464" i="7" s="1"/>
  <c r="P464" i="7" s="1"/>
  <c r="H460" i="7"/>
  <c r="H461" i="7"/>
  <c r="H462" i="7"/>
  <c r="H455" i="7"/>
  <c r="H456" i="7" s="1"/>
  <c r="H454" i="7" s="1"/>
  <c r="J454" i="7" s="1"/>
  <c r="H452" i="7"/>
  <c r="H453" i="7" s="1"/>
  <c r="H451" i="7" s="1"/>
  <c r="J451" i="7" s="1"/>
  <c r="H425" i="7"/>
  <c r="H426" i="7" s="1"/>
  <c r="H424" i="7" s="1"/>
  <c r="P424" i="7" s="1"/>
  <c r="H423" i="7"/>
  <c r="H421" i="7" s="1"/>
  <c r="J421" i="7" s="1"/>
  <c r="H420" i="7"/>
  <c r="H418" i="7" s="1"/>
  <c r="J418" i="7" s="1"/>
  <c r="H417" i="7"/>
  <c r="H415" i="7" s="1"/>
  <c r="P415" i="7" s="1"/>
  <c r="H407" i="7"/>
  <c r="H408" i="7" s="1"/>
  <c r="H406" i="7" s="1"/>
  <c r="J406" i="7" s="1"/>
  <c r="H404" i="7"/>
  <c r="H405" i="7" s="1"/>
  <c r="H403" i="7" s="1"/>
  <c r="J403" i="7" s="1"/>
  <c r="H401" i="7"/>
  <c r="H402" i="7" s="1"/>
  <c r="H400" i="7" s="1"/>
  <c r="J400" i="7" s="1"/>
  <c r="H399" i="7"/>
  <c r="H397" i="7" s="1"/>
  <c r="P397" i="7" s="1"/>
  <c r="H163" i="7"/>
  <c r="H162" i="7"/>
  <c r="H385" i="7"/>
  <c r="H380" i="7"/>
  <c r="H374" i="7"/>
  <c r="H375" i="7" s="1"/>
  <c r="H377" i="7" s="1"/>
  <c r="H378" i="7" s="1"/>
  <c r="H376" i="7" s="1"/>
  <c r="P376" i="7" s="1"/>
  <c r="H366" i="7"/>
  <c r="H351" i="7"/>
  <c r="H355" i="7"/>
  <c r="H620" i="7" l="1"/>
  <c r="J620" i="7" s="1"/>
  <c r="H615" i="7"/>
  <c r="H609" i="7"/>
  <c r="H606" i="7" s="1"/>
  <c r="J606" i="7" s="1"/>
  <c r="H605" i="7"/>
  <c r="H602" i="7" s="1"/>
  <c r="J602" i="7" s="1"/>
  <c r="P421" i="7"/>
  <c r="P451" i="7"/>
  <c r="P400" i="7"/>
  <c r="P454" i="7"/>
  <c r="P403" i="7"/>
  <c r="P406" i="7"/>
  <c r="P418" i="7"/>
  <c r="P479" i="7"/>
  <c r="J551" i="7"/>
  <c r="J548" i="7"/>
  <c r="H567" i="7"/>
  <c r="H561" i="7" s="1"/>
  <c r="O561" i="7" s="1"/>
  <c r="H560" i="7"/>
  <c r="H554" i="7" s="1"/>
  <c r="J554" i="7" s="1"/>
  <c r="O542" i="7"/>
  <c r="O510" i="7"/>
  <c r="O513" i="7"/>
  <c r="J545" i="7"/>
  <c r="H535" i="7"/>
  <c r="H529" i="7" s="1"/>
  <c r="H541" i="7"/>
  <c r="H536" i="7" s="1"/>
  <c r="H528" i="7"/>
  <c r="H525" i="7" s="1"/>
  <c r="H519" i="7"/>
  <c r="H509" i="7"/>
  <c r="H507" i="7" s="1"/>
  <c r="H503" i="7"/>
  <c r="H500" i="7" s="1"/>
  <c r="H472" i="7"/>
  <c r="H467" i="7" s="1"/>
  <c r="P467" i="7" s="1"/>
  <c r="H463" i="7"/>
  <c r="H458" i="7" s="1"/>
  <c r="P458" i="7" s="1"/>
  <c r="J424" i="7"/>
  <c r="J415" i="7"/>
  <c r="J397" i="7"/>
  <c r="H390" i="7"/>
  <c r="H386" i="7" s="1"/>
  <c r="H382" i="7"/>
  <c r="H379" i="7" s="1"/>
  <c r="H383" i="7"/>
  <c r="J376" i="7"/>
  <c r="H373" i="7"/>
  <c r="H369" i="7"/>
  <c r="H372" i="7" s="1"/>
  <c r="H364" i="7"/>
  <c r="H357" i="7" s="1"/>
  <c r="H356" i="7"/>
  <c r="H353" i="7" s="1"/>
  <c r="H352" i="7"/>
  <c r="H347" i="7" s="1"/>
  <c r="H612" i="7" l="1"/>
  <c r="J612" i="7" s="1"/>
  <c r="H616" i="7"/>
  <c r="J616" i="7" s="1"/>
  <c r="J373" i="7"/>
  <c r="P373" i="7"/>
  <c r="J383" i="7"/>
  <c r="P383" i="7"/>
  <c r="J379" i="7"/>
  <c r="P379" i="7"/>
  <c r="J357" i="7"/>
  <c r="P357" i="7"/>
  <c r="J347" i="7"/>
  <c r="P347" i="7"/>
  <c r="J386" i="7"/>
  <c r="P386" i="7"/>
  <c r="J353" i="7"/>
  <c r="P353" i="7"/>
  <c r="J561" i="7"/>
  <c r="O554" i="7"/>
  <c r="J529" i="7"/>
  <c r="O529" i="7"/>
  <c r="J525" i="7"/>
  <c r="O525" i="7"/>
  <c r="J500" i="7"/>
  <c r="O500" i="7"/>
  <c r="J507" i="7"/>
  <c r="O507" i="7"/>
  <c r="J536" i="7"/>
  <c r="O536" i="7"/>
  <c r="H516" i="7"/>
  <c r="H365" i="7"/>
  <c r="H370" i="7"/>
  <c r="H628" i="7" l="1"/>
  <c r="J628" i="7" s="1"/>
  <c r="H675" i="7"/>
  <c r="H677" i="7" s="1"/>
  <c r="J370" i="7"/>
  <c r="P370" i="7"/>
  <c r="J365" i="7"/>
  <c r="P365" i="7"/>
  <c r="J516" i="7"/>
  <c r="O516" i="7"/>
  <c r="H569" i="7" s="1"/>
  <c r="J611" i="7" l="1"/>
  <c r="J68" i="7" s="1"/>
  <c r="H673" i="7"/>
  <c r="H680" i="7"/>
  <c r="H678" i="7"/>
  <c r="H676" i="7" s="1"/>
  <c r="H570" i="7"/>
  <c r="H568" i="7" s="1"/>
  <c r="J568" i="7" s="1"/>
  <c r="H681" i="7" l="1"/>
  <c r="H679" i="7" s="1"/>
  <c r="H686" i="7"/>
  <c r="H687" i="7" s="1"/>
  <c r="H685" i="7" s="1"/>
  <c r="H572" i="7"/>
  <c r="H573" i="7" s="1"/>
  <c r="H575" i="7" s="1"/>
  <c r="H576" i="7" s="1"/>
  <c r="H574" i="7" s="1"/>
  <c r="J574" i="7" s="1"/>
  <c r="H578" i="7" l="1"/>
  <c r="H579" i="7" s="1"/>
  <c r="H577" i="7" s="1"/>
  <c r="J577" i="7" s="1"/>
  <c r="H571" i="7"/>
  <c r="J571" i="7" s="1"/>
  <c r="H164" i="7" l="1"/>
  <c r="H181" i="7"/>
  <c r="H182" i="7" s="1"/>
  <c r="P325" i="7"/>
  <c r="H278" i="7"/>
  <c r="H276" i="7" s="1"/>
  <c r="P276" i="7" s="1"/>
  <c r="H275" i="7"/>
  <c r="H273" i="7" s="1"/>
  <c r="P273" i="7" s="1"/>
  <c r="H272" i="7"/>
  <c r="H270" i="7" s="1"/>
  <c r="P270" i="7" s="1"/>
  <c r="H238" i="7"/>
  <c r="H236" i="7" s="1"/>
  <c r="H235" i="7"/>
  <c r="H233" i="7" s="1"/>
  <c r="P233" i="7" s="1"/>
  <c r="H232" i="7"/>
  <c r="H230" i="7" s="1"/>
  <c r="P230" i="7" s="1"/>
  <c r="H229" i="7"/>
  <c r="H227" i="7" s="1"/>
  <c r="P227" i="7" s="1"/>
  <c r="J236" i="7" l="1"/>
  <c r="P236" i="7"/>
  <c r="H338" i="7"/>
  <c r="H335" i="7" s="1"/>
  <c r="P335" i="7" s="1"/>
  <c r="H339" i="7"/>
  <c r="P339" i="7" s="1"/>
  <c r="H334" i="7"/>
  <c r="H329" i="7" s="1"/>
  <c r="P329" i="7" s="1"/>
  <c r="H269" i="7"/>
  <c r="H265" i="7" s="1"/>
  <c r="P265" i="7" s="1"/>
  <c r="H264" i="7"/>
  <c r="H260" i="7" s="1"/>
  <c r="P260" i="7" s="1"/>
  <c r="H259" i="7"/>
  <c r="H255" i="7" s="1"/>
  <c r="P255" i="7" s="1"/>
  <c r="H254" i="7"/>
  <c r="H250" i="7" s="1"/>
  <c r="P250" i="7" s="1"/>
  <c r="H249" i="7"/>
  <c r="H245" i="7" s="1"/>
  <c r="P245" i="7" s="1"/>
  <c r="H240" i="7"/>
  <c r="P240" i="7" s="1"/>
  <c r="H223" i="7" l="1"/>
  <c r="P223" i="7" s="1"/>
  <c r="H211" i="7" l="1"/>
  <c r="H209" i="7" s="1"/>
  <c r="H205" i="7"/>
  <c r="H203" i="7" s="1"/>
  <c r="J203" i="7" l="1"/>
  <c r="P203" i="7"/>
  <c r="J209" i="7"/>
  <c r="P209" i="7"/>
  <c r="H167" i="7"/>
  <c r="H165" i="7" s="1"/>
  <c r="J165" i="7" l="1"/>
  <c r="P165" i="7"/>
  <c r="H196" i="7"/>
  <c r="H194" i="7" s="1"/>
  <c r="H198" i="7"/>
  <c r="H199" i="7" s="1"/>
  <c r="H197" i="7" s="1"/>
  <c r="H201" i="7"/>
  <c r="H202" i="7" s="1"/>
  <c r="H200" i="7" s="1"/>
  <c r="H193" i="7"/>
  <c r="H160" i="7"/>
  <c r="P160" i="7" s="1"/>
  <c r="H128" i="7"/>
  <c r="H126" i="7" s="1"/>
  <c r="J126" i="7" s="1"/>
  <c r="H154" i="7"/>
  <c r="H155" i="7" s="1"/>
  <c r="H153" i="7" s="1"/>
  <c r="J153" i="7" s="1"/>
  <c r="H121" i="7"/>
  <c r="H119" i="7" s="1"/>
  <c r="J119" i="7" s="1"/>
  <c r="H115" i="7"/>
  <c r="H113" i="7" s="1"/>
  <c r="J113" i="7" s="1"/>
  <c r="H122" i="7"/>
  <c r="J122" i="7" s="1"/>
  <c r="C109" i="7"/>
  <c r="H108" i="7"/>
  <c r="H106" i="7" s="1"/>
  <c r="J106" i="7" s="1"/>
  <c r="J82" i="13"/>
  <c r="J81" i="13" s="1"/>
  <c r="E71" i="13"/>
  <c r="E48" i="13"/>
  <c r="F35" i="13"/>
  <c r="F34" i="13"/>
  <c r="F33" i="13"/>
  <c r="J32" i="13"/>
  <c r="E25" i="13"/>
  <c r="E23" i="13"/>
  <c r="E22" i="13"/>
  <c r="E21" i="13"/>
  <c r="J75" i="13" s="1"/>
  <c r="J20" i="13"/>
  <c r="J18" i="13"/>
  <c r="E18" i="13"/>
  <c r="F76" i="13" s="1"/>
  <c r="J17" i="13"/>
  <c r="J15" i="13"/>
  <c r="E15" i="13"/>
  <c r="F75" i="13" s="1"/>
  <c r="J14" i="13"/>
  <c r="J12" i="13"/>
  <c r="J50" i="13" s="1"/>
  <c r="E7" i="13"/>
  <c r="E46" i="13" s="1"/>
  <c r="J82" i="12"/>
  <c r="J81" i="12" s="1"/>
  <c r="E71" i="12"/>
  <c r="E48" i="12"/>
  <c r="F35" i="12"/>
  <c r="F34" i="12"/>
  <c r="F33" i="12"/>
  <c r="J32" i="12"/>
  <c r="E25" i="12"/>
  <c r="E23" i="12"/>
  <c r="E22" i="12"/>
  <c r="E21" i="12"/>
  <c r="J75" i="12" s="1"/>
  <c r="J20" i="12"/>
  <c r="J18" i="12"/>
  <c r="E18" i="12"/>
  <c r="F76" i="12" s="1"/>
  <c r="J17" i="12"/>
  <c r="J15" i="12"/>
  <c r="E15" i="12"/>
  <c r="F75" i="12" s="1"/>
  <c r="J14" i="12"/>
  <c r="J12" i="12"/>
  <c r="J50" i="12" s="1"/>
  <c r="E7" i="12"/>
  <c r="E69" i="12" s="1"/>
  <c r="J82" i="11"/>
  <c r="J81" i="11" s="1"/>
  <c r="E71" i="11"/>
  <c r="E48" i="11"/>
  <c r="F35" i="11"/>
  <c r="F34" i="11"/>
  <c r="F33" i="11"/>
  <c r="J32" i="11"/>
  <c r="E25" i="11"/>
  <c r="E23" i="11"/>
  <c r="E22" i="11"/>
  <c r="E21" i="11"/>
  <c r="J75" i="11" s="1"/>
  <c r="J20" i="11"/>
  <c r="J18" i="11"/>
  <c r="E18" i="11"/>
  <c r="F76" i="11" s="1"/>
  <c r="J17" i="11"/>
  <c r="J15" i="11"/>
  <c r="E15" i="11"/>
  <c r="F75" i="11" s="1"/>
  <c r="J14" i="11"/>
  <c r="J12" i="11"/>
  <c r="J50" i="11" s="1"/>
  <c r="E7" i="11"/>
  <c r="E46" i="11" s="1"/>
  <c r="J82" i="10"/>
  <c r="E71" i="10"/>
  <c r="E48" i="10"/>
  <c r="F35" i="10"/>
  <c r="F34" i="10"/>
  <c r="F33" i="10"/>
  <c r="J32" i="10"/>
  <c r="E25" i="10"/>
  <c r="E23" i="10"/>
  <c r="E22" i="10"/>
  <c r="E21" i="10"/>
  <c r="J52" i="10" s="1"/>
  <c r="J20" i="10"/>
  <c r="J18" i="10"/>
  <c r="E18" i="10"/>
  <c r="F76" i="10" s="1"/>
  <c r="J17" i="10"/>
  <c r="J15" i="10"/>
  <c r="E15" i="10"/>
  <c r="F75" i="10" s="1"/>
  <c r="J14" i="10"/>
  <c r="J12" i="10"/>
  <c r="J50" i="10" s="1"/>
  <c r="E7" i="10"/>
  <c r="E69" i="10" s="1"/>
  <c r="H92" i="9"/>
  <c r="E71" i="9"/>
  <c r="E48" i="9"/>
  <c r="F35" i="9"/>
  <c r="F34" i="9"/>
  <c r="F33" i="9"/>
  <c r="J32" i="9"/>
  <c r="E25" i="9"/>
  <c r="E23" i="9"/>
  <c r="E22" i="9"/>
  <c r="E21" i="9"/>
  <c r="J75" i="9" s="1"/>
  <c r="J20" i="9"/>
  <c r="J18" i="9"/>
  <c r="E18" i="9"/>
  <c r="F76" i="9" s="1"/>
  <c r="J17" i="9"/>
  <c r="J15" i="9"/>
  <c r="E15" i="9"/>
  <c r="F52" i="9" s="1"/>
  <c r="J14" i="9"/>
  <c r="J12" i="9"/>
  <c r="J73" i="9" s="1"/>
  <c r="E7" i="9"/>
  <c r="E69" i="9" s="1"/>
  <c r="H178" i="4"/>
  <c r="H179" i="4"/>
  <c r="H180" i="4"/>
  <c r="H175" i="4"/>
  <c r="H172" i="4"/>
  <c r="H173" i="4" s="1"/>
  <c r="H171" i="4" s="1"/>
  <c r="J171" i="4" s="1"/>
  <c r="H139" i="4"/>
  <c r="H138" i="4"/>
  <c r="H132" i="4"/>
  <c r="H131" i="4"/>
  <c r="H130" i="4"/>
  <c r="H129" i="4"/>
  <c r="H126" i="4"/>
  <c r="H125" i="4"/>
  <c r="H124" i="4"/>
  <c r="H123" i="4"/>
  <c r="H120" i="4"/>
  <c r="H119" i="4"/>
  <c r="H118" i="4"/>
  <c r="H117" i="4"/>
  <c r="H113" i="4"/>
  <c r="H112" i="4"/>
  <c r="H111" i="4"/>
  <c r="H114" i="4"/>
  <c r="H90" i="4"/>
  <c r="H91" i="4" s="1"/>
  <c r="H89" i="4" s="1"/>
  <c r="J89" i="4" s="1"/>
  <c r="H96" i="4"/>
  <c r="H97" i="4" s="1"/>
  <c r="H95" i="4" s="1"/>
  <c r="J95" i="4" s="1"/>
  <c r="H93" i="4"/>
  <c r="H94" i="4" s="1"/>
  <c r="H92" i="4" s="1"/>
  <c r="J92" i="4" s="1"/>
  <c r="C89" i="4"/>
  <c r="C92" i="4" s="1"/>
  <c r="C95" i="4" s="1"/>
  <c r="C98" i="4" s="1"/>
  <c r="C101" i="4" s="1"/>
  <c r="H176" i="4"/>
  <c r="H174" i="4" s="1"/>
  <c r="J174" i="4" s="1"/>
  <c r="H166" i="4"/>
  <c r="H167" i="4" s="1"/>
  <c r="H165" i="4" s="1"/>
  <c r="J165" i="4" s="1"/>
  <c r="H169" i="4"/>
  <c r="H170" i="4" s="1"/>
  <c r="H168" i="4" s="1"/>
  <c r="J168" i="4" s="1"/>
  <c r="H163" i="4"/>
  <c r="H164" i="4" s="1"/>
  <c r="H162" i="4" s="1"/>
  <c r="J162" i="4" s="1"/>
  <c r="H160" i="4"/>
  <c r="H161" i="4" s="1"/>
  <c r="H159" i="4" s="1"/>
  <c r="J159" i="4" s="1"/>
  <c r="H201" i="4"/>
  <c r="H198" i="4"/>
  <c r="H195" i="4"/>
  <c r="H192" i="4"/>
  <c r="H189" i="4"/>
  <c r="H186" i="4"/>
  <c r="H183" i="4"/>
  <c r="H157" i="4"/>
  <c r="H154" i="4"/>
  <c r="H145" i="4"/>
  <c r="H151" i="4"/>
  <c r="H152" i="4" s="1"/>
  <c r="H150" i="4" s="1"/>
  <c r="J150" i="4" s="1"/>
  <c r="H148" i="4"/>
  <c r="H149" i="4" s="1"/>
  <c r="H147" i="4" s="1"/>
  <c r="J147" i="4" s="1"/>
  <c r="H142" i="4"/>
  <c r="H143" i="4" s="1"/>
  <c r="H141" i="4" s="1"/>
  <c r="J141" i="4" s="1"/>
  <c r="H135" i="4"/>
  <c r="H136" i="4" s="1"/>
  <c r="H134" i="4" s="1"/>
  <c r="J134" i="4" s="1"/>
  <c r="H108" i="4"/>
  <c r="H109" i="4" s="1"/>
  <c r="H107" i="4" s="1"/>
  <c r="J107" i="4" s="1"/>
  <c r="H105" i="4"/>
  <c r="H106" i="4" s="1"/>
  <c r="H104" i="4" s="1"/>
  <c r="J104" i="4" s="1"/>
  <c r="H102" i="4"/>
  <c r="H103" i="4" s="1"/>
  <c r="H101" i="4" s="1"/>
  <c r="H99" i="4"/>
  <c r="H100" i="4" s="1"/>
  <c r="H98" i="4" s="1"/>
  <c r="J98" i="4" s="1"/>
  <c r="H87" i="4"/>
  <c r="H88" i="4" s="1"/>
  <c r="H86" i="4" s="1"/>
  <c r="J86" i="4" s="1"/>
  <c r="H117" i="8"/>
  <c r="H118" i="8" s="1"/>
  <c r="H116" i="8" s="1"/>
  <c r="J116" i="8" s="1"/>
  <c r="H114" i="8"/>
  <c r="H111" i="8"/>
  <c r="H108" i="8"/>
  <c r="H107" i="8"/>
  <c r="H104" i="8"/>
  <c r="H103" i="8"/>
  <c r="H100" i="8"/>
  <c r="H99" i="8"/>
  <c r="H96" i="8"/>
  <c r="H95" i="8"/>
  <c r="H92" i="8"/>
  <c r="H89" i="8"/>
  <c r="H90" i="8" s="1"/>
  <c r="H88" i="8" s="1"/>
  <c r="J88" i="8" s="1"/>
  <c r="C85" i="8"/>
  <c r="C88" i="8" s="1"/>
  <c r="C91" i="8" s="1"/>
  <c r="C94" i="8" s="1"/>
  <c r="H83" i="8"/>
  <c r="H84" i="8" s="1"/>
  <c r="H82" i="8" s="1"/>
  <c r="J82" i="8" s="1"/>
  <c r="H86" i="8"/>
  <c r="E71" i="8"/>
  <c r="E48" i="8"/>
  <c r="F35" i="8"/>
  <c r="F34" i="8"/>
  <c r="F33" i="8"/>
  <c r="J32" i="8"/>
  <c r="E25" i="8"/>
  <c r="E23" i="8"/>
  <c r="E22" i="8"/>
  <c r="E21" i="8"/>
  <c r="J52" i="8" s="1"/>
  <c r="J20" i="8"/>
  <c r="J18" i="8"/>
  <c r="E18" i="8"/>
  <c r="F53" i="8" s="1"/>
  <c r="J17" i="8"/>
  <c r="J15" i="8"/>
  <c r="E15" i="8"/>
  <c r="F75" i="8" s="1"/>
  <c r="J14" i="8"/>
  <c r="J12" i="8"/>
  <c r="J73" i="8" s="1"/>
  <c r="E7" i="8"/>
  <c r="E69" i="8" s="1"/>
  <c r="H220" i="2"/>
  <c r="H211" i="2"/>
  <c r="H212" i="2" s="1"/>
  <c r="H210" i="2" s="1"/>
  <c r="J210" i="2" s="1"/>
  <c r="H208" i="2"/>
  <c r="H209" i="2" s="1"/>
  <c r="H207" i="2" s="1"/>
  <c r="J207" i="2" s="1"/>
  <c r="H205" i="2"/>
  <c r="H206" i="2" s="1"/>
  <c r="H204" i="2" s="1"/>
  <c r="H202" i="2"/>
  <c r="H203" i="2" s="1"/>
  <c r="H201" i="2" s="1"/>
  <c r="J201" i="2" s="1"/>
  <c r="H181" i="2"/>
  <c r="H182" i="2" s="1"/>
  <c r="H180" i="2" s="1"/>
  <c r="J180" i="2" s="1"/>
  <c r="H175" i="2"/>
  <c r="H176" i="2" s="1"/>
  <c r="H174" i="2" s="1"/>
  <c r="J174" i="2" s="1"/>
  <c r="H199" i="2"/>
  <c r="H200" i="2" s="1"/>
  <c r="H198" i="2" s="1"/>
  <c r="J198" i="2" s="1"/>
  <c r="H196" i="2"/>
  <c r="H197" i="2" s="1"/>
  <c r="H195" i="2" s="1"/>
  <c r="J195" i="2" s="1"/>
  <c r="H178" i="2"/>
  <c r="H179" i="2" s="1"/>
  <c r="H177" i="2" s="1"/>
  <c r="J177" i="2" s="1"/>
  <c r="H193" i="2"/>
  <c r="H194" i="2" s="1"/>
  <c r="H192" i="2" s="1"/>
  <c r="J192" i="2" s="1"/>
  <c r="H190" i="2"/>
  <c r="H191" i="2" s="1"/>
  <c r="H189" i="2" s="1"/>
  <c r="J189" i="2" s="1"/>
  <c r="H187" i="2"/>
  <c r="H188" i="2" s="1"/>
  <c r="H186" i="2" s="1"/>
  <c r="J186" i="2" s="1"/>
  <c r="H184" i="2"/>
  <c r="H172" i="2"/>
  <c r="H169" i="2"/>
  <c r="H170" i="2" s="1"/>
  <c r="H168" i="2" s="1"/>
  <c r="J168" i="2" s="1"/>
  <c r="H166" i="2"/>
  <c r="H163" i="2"/>
  <c r="H160" i="2"/>
  <c r="H157" i="2"/>
  <c r="H147" i="2"/>
  <c r="H146" i="2"/>
  <c r="H154" i="2"/>
  <c r="H145" i="2"/>
  <c r="H151" i="2"/>
  <c r="H150" i="2"/>
  <c r="H144" i="2"/>
  <c r="H143" i="2"/>
  <c r="H142" i="2"/>
  <c r="H141" i="2"/>
  <c r="H140" i="2"/>
  <c r="H139" i="2"/>
  <c r="H138" i="2"/>
  <c r="H135" i="2"/>
  <c r="H134" i="2"/>
  <c r="H133" i="2"/>
  <c r="H132" i="2"/>
  <c r="H131" i="2"/>
  <c r="H130" i="2"/>
  <c r="H127" i="2"/>
  <c r="H126" i="2"/>
  <c r="H125" i="2"/>
  <c r="H124" i="2"/>
  <c r="H123" i="2"/>
  <c r="H122" i="2"/>
  <c r="H119" i="2"/>
  <c r="H118" i="2"/>
  <c r="H117" i="2"/>
  <c r="H116" i="2"/>
  <c r="H115" i="2"/>
  <c r="H114" i="2"/>
  <c r="H111" i="2"/>
  <c r="H110" i="2"/>
  <c r="H109" i="2"/>
  <c r="H108" i="2"/>
  <c r="H107" i="2"/>
  <c r="H106" i="2"/>
  <c r="H103" i="2"/>
  <c r="H102" i="2"/>
  <c r="H101" i="2"/>
  <c r="H100" i="2"/>
  <c r="H97" i="2"/>
  <c r="H96" i="2"/>
  <c r="H92" i="2"/>
  <c r="H93" i="2"/>
  <c r="H91" i="2"/>
  <c r="H87" i="2"/>
  <c r="H86" i="2"/>
  <c r="H88" i="2"/>
  <c r="H83" i="2"/>
  <c r="H84" i="2" s="1"/>
  <c r="H82" i="2" s="1"/>
  <c r="J82" i="2" s="1"/>
  <c r="C85" i="2"/>
  <c r="C90" i="2" s="1"/>
  <c r="J73" i="11" l="1"/>
  <c r="H82" i="9"/>
  <c r="J82" i="9" s="1"/>
  <c r="J81" i="9" s="1"/>
  <c r="F52" i="10"/>
  <c r="J73" i="12"/>
  <c r="J50" i="9"/>
  <c r="J52" i="9"/>
  <c r="J52" i="12"/>
  <c r="F52" i="13"/>
  <c r="J52" i="11"/>
  <c r="J200" i="7"/>
  <c r="P200" i="7"/>
  <c r="J197" i="7"/>
  <c r="P197" i="7"/>
  <c r="J194" i="7"/>
  <c r="P194" i="7"/>
  <c r="H190" i="7"/>
  <c r="H183" i="7" s="1"/>
  <c r="P183" i="7" s="1"/>
  <c r="H191" i="7"/>
  <c r="H175" i="7"/>
  <c r="P175" i="7" s="1"/>
  <c r="H168" i="7"/>
  <c r="P168" i="7" s="1"/>
  <c r="H152" i="7"/>
  <c r="H149" i="7" s="1"/>
  <c r="H112" i="7"/>
  <c r="C113" i="7"/>
  <c r="C116" i="7" s="1"/>
  <c r="C119" i="7" s="1"/>
  <c r="C122" i="7" s="1"/>
  <c r="H156" i="7"/>
  <c r="J156" i="7" s="1"/>
  <c r="H143" i="7"/>
  <c r="H139" i="7" s="1"/>
  <c r="J139" i="7" s="1"/>
  <c r="H148" i="7"/>
  <c r="H144" i="7" s="1"/>
  <c r="J144" i="7" s="1"/>
  <c r="H138" i="7"/>
  <c r="H134" i="7" s="1"/>
  <c r="J134" i="7" s="1"/>
  <c r="J80" i="13"/>
  <c r="J59" i="13"/>
  <c r="J52" i="13"/>
  <c r="J73" i="13"/>
  <c r="F53" i="13"/>
  <c r="E69" i="13"/>
  <c r="J80" i="12"/>
  <c r="J59" i="12"/>
  <c r="F52" i="12"/>
  <c r="F53" i="12"/>
  <c r="E46" i="12"/>
  <c r="J59" i="11"/>
  <c r="J80" i="11"/>
  <c r="E69" i="11"/>
  <c r="F52" i="11"/>
  <c r="F53" i="11"/>
  <c r="J81" i="10"/>
  <c r="F53" i="10"/>
  <c r="J75" i="10"/>
  <c r="J73" i="10"/>
  <c r="E46" i="10"/>
  <c r="F53" i="9"/>
  <c r="F75" i="9"/>
  <c r="E46" i="9"/>
  <c r="H181" i="4"/>
  <c r="H177" i="4" s="1"/>
  <c r="J177" i="4" s="1"/>
  <c r="H140" i="4"/>
  <c r="H137" i="4" s="1"/>
  <c r="J137" i="4" s="1"/>
  <c r="H133" i="4"/>
  <c r="H128" i="4" s="1"/>
  <c r="J128" i="4" s="1"/>
  <c r="H127" i="4"/>
  <c r="H122" i="4" s="1"/>
  <c r="J122" i="4" s="1"/>
  <c r="H115" i="4"/>
  <c r="H110" i="4" s="1"/>
  <c r="J110" i="4" s="1"/>
  <c r="H121" i="4"/>
  <c r="J101" i="4"/>
  <c r="C98" i="8"/>
  <c r="C102" i="8" s="1"/>
  <c r="C106" i="8" s="1"/>
  <c r="C110" i="8" s="1"/>
  <c r="C113" i="8" s="1"/>
  <c r="C116" i="8" s="1"/>
  <c r="H87" i="8"/>
  <c r="H85" i="8" s="1"/>
  <c r="J85" i="8" s="1"/>
  <c r="H93" i="8"/>
  <c r="H91" i="8" s="1"/>
  <c r="J91" i="8" s="1"/>
  <c r="H115" i="8"/>
  <c r="H113" i="8" s="1"/>
  <c r="J113" i="8" s="1"/>
  <c r="H101" i="8"/>
  <c r="H98" i="8" s="1"/>
  <c r="J98" i="8" s="1"/>
  <c r="H109" i="8"/>
  <c r="H106" i="8" s="1"/>
  <c r="J106" i="8" s="1"/>
  <c r="H105" i="8"/>
  <c r="H102" i="8" s="1"/>
  <c r="J102" i="8" s="1"/>
  <c r="H97" i="8"/>
  <c r="H94" i="8" s="1"/>
  <c r="J94" i="8" s="1"/>
  <c r="H112" i="8"/>
  <c r="H110" i="8" s="1"/>
  <c r="J110" i="8" s="1"/>
  <c r="J75" i="8"/>
  <c r="E46" i="8"/>
  <c r="F76" i="8"/>
  <c r="J50" i="8"/>
  <c r="F52" i="8"/>
  <c r="J204" i="2"/>
  <c r="H155" i="2"/>
  <c r="H153" i="2" s="1"/>
  <c r="J153" i="2" s="1"/>
  <c r="H152" i="2"/>
  <c r="H149" i="2" s="1"/>
  <c r="J149" i="2" s="1"/>
  <c r="H112" i="2"/>
  <c r="H104" i="2"/>
  <c r="H89" i="2"/>
  <c r="H85" i="2" s="1"/>
  <c r="J85" i="2" s="1"/>
  <c r="H129" i="7" l="1"/>
  <c r="J129" i="7" s="1"/>
  <c r="H109" i="7"/>
  <c r="J109" i="7" s="1"/>
  <c r="H117" i="7"/>
  <c r="H118" i="7" s="1"/>
  <c r="H116" i="7" s="1"/>
  <c r="J116" i="7" s="1"/>
  <c r="J191" i="7"/>
  <c r="P191" i="7"/>
  <c r="H582" i="7" s="1"/>
  <c r="H583" i="7" s="1"/>
  <c r="H581" i="7" s="1"/>
  <c r="C126" i="7"/>
  <c r="C129" i="7" s="1"/>
  <c r="C134" i="7" s="1"/>
  <c r="C139" i="7" s="1"/>
  <c r="C144" i="7" s="1"/>
  <c r="C149" i="7" s="1"/>
  <c r="C153" i="7" s="1"/>
  <c r="C156" i="7" s="1"/>
  <c r="C160" i="7" s="1"/>
  <c r="C165" i="7" s="1"/>
  <c r="C168" i="7" s="1"/>
  <c r="J79" i="13"/>
  <c r="J58" i="13"/>
  <c r="J79" i="12"/>
  <c r="J58" i="12"/>
  <c r="J79" i="11"/>
  <c r="J58" i="11"/>
  <c r="J80" i="10"/>
  <c r="J59" i="10"/>
  <c r="J80" i="9"/>
  <c r="J59" i="9"/>
  <c r="C104" i="4"/>
  <c r="C107" i="4" s="1"/>
  <c r="C110" i="4" s="1"/>
  <c r="C116" i="4" s="1"/>
  <c r="C122" i="4" s="1"/>
  <c r="C128" i="4" s="1"/>
  <c r="C134" i="4" s="1"/>
  <c r="J81" i="8"/>
  <c r="J80" i="8" s="1"/>
  <c r="J92" i="13" l="1"/>
  <c r="J28" i="13"/>
  <c r="AG66" i="1" s="1"/>
  <c r="J57" i="13"/>
  <c r="J93" i="13" s="1"/>
  <c r="J92" i="12"/>
  <c r="J28" i="12"/>
  <c r="AG65" i="1" s="1"/>
  <c r="J57" i="12"/>
  <c r="J93" i="12" s="1"/>
  <c r="J92" i="11"/>
  <c r="J28" i="11"/>
  <c r="AG64" i="1" s="1"/>
  <c r="J57" i="11"/>
  <c r="J93" i="11" s="1"/>
  <c r="J79" i="10"/>
  <c r="J58" i="10"/>
  <c r="J79" i="9"/>
  <c r="J58" i="9"/>
  <c r="C137" i="4"/>
  <c r="C141" i="4" s="1"/>
  <c r="C144" i="4" s="1"/>
  <c r="J59" i="8"/>
  <c r="J79" i="8"/>
  <c r="J58" i="8"/>
  <c r="F31" i="13" l="1"/>
  <c r="J31" i="13" s="1"/>
  <c r="J37" i="13" s="1"/>
  <c r="AN66" i="1" s="1"/>
  <c r="J94" i="13"/>
  <c r="F31" i="12"/>
  <c r="J31" i="12" s="1"/>
  <c r="J37" i="12" s="1"/>
  <c r="AN65" i="1" s="1"/>
  <c r="J94" i="12"/>
  <c r="F31" i="11"/>
  <c r="J31" i="11" s="1"/>
  <c r="J37" i="11" s="1"/>
  <c r="AN64" i="1" s="1"/>
  <c r="J94" i="11"/>
  <c r="J92" i="10"/>
  <c r="J28" i="10"/>
  <c r="AG62" i="1" s="1"/>
  <c r="J57" i="10"/>
  <c r="J93" i="10" s="1"/>
  <c r="J57" i="9"/>
  <c r="J103" i="9" s="1"/>
  <c r="J102" i="9"/>
  <c r="J28" i="9"/>
  <c r="AG60" i="1" s="1"/>
  <c r="J128" i="8"/>
  <c r="J28" i="8"/>
  <c r="AG56" i="1" s="1"/>
  <c r="J57" i="8"/>
  <c r="J129" i="8" s="1"/>
  <c r="AJ68" i="6"/>
  <c r="AG55" i="6" s="1"/>
  <c r="AJ83" i="6"/>
  <c r="AG56" i="6" s="1"/>
  <c r="J56" i="6"/>
  <c r="E22" i="6"/>
  <c r="E20" i="6"/>
  <c r="E19" i="6"/>
  <c r="AN17" i="6"/>
  <c r="E18" i="6"/>
  <c r="E12" i="6"/>
  <c r="AN12" i="6"/>
  <c r="AN11" i="6"/>
  <c r="AN9" i="6"/>
  <c r="K9" i="6"/>
  <c r="E25" i="2"/>
  <c r="E25" i="4"/>
  <c r="E25" i="7"/>
  <c r="E23" i="4"/>
  <c r="E22" i="4"/>
  <c r="E21" i="4"/>
  <c r="J20" i="4"/>
  <c r="J15" i="4"/>
  <c r="J14" i="4"/>
  <c r="E15" i="4"/>
  <c r="F12" i="4"/>
  <c r="E23" i="2"/>
  <c r="E22" i="2"/>
  <c r="E21" i="2"/>
  <c r="J20" i="2"/>
  <c r="J15" i="2"/>
  <c r="J14" i="2"/>
  <c r="E15" i="2"/>
  <c r="J1325" i="7"/>
  <c r="J1317" i="7"/>
  <c r="J1256" i="7"/>
  <c r="J1253" i="7"/>
  <c r="J1247" i="7"/>
  <c r="J1209" i="7"/>
  <c r="J1204" i="7"/>
  <c r="H1167" i="7"/>
  <c r="H1165" i="7" s="1"/>
  <c r="J1165" i="7" s="1"/>
  <c r="H1164" i="7"/>
  <c r="H1162" i="7" s="1"/>
  <c r="J1162" i="7" s="1"/>
  <c r="H1161" i="7"/>
  <c r="H1159" i="7" s="1"/>
  <c r="J1159" i="7" s="1"/>
  <c r="J1143" i="7"/>
  <c r="J1138" i="7"/>
  <c r="J1135" i="7"/>
  <c r="J1131" i="7"/>
  <c r="J1127" i="7"/>
  <c r="J1123" i="7"/>
  <c r="J1117" i="7"/>
  <c r="J1113" i="7"/>
  <c r="J1109" i="7"/>
  <c r="J1103" i="7"/>
  <c r="J1099" i="7"/>
  <c r="J1095" i="7"/>
  <c r="J1091" i="7"/>
  <c r="J1087" i="7"/>
  <c r="J1072" i="7"/>
  <c r="J1068" i="7"/>
  <c r="J1060" i="7"/>
  <c r="J1056" i="7"/>
  <c r="H1048" i="7" s="1"/>
  <c r="J1048" i="7" s="1"/>
  <c r="J998" i="7"/>
  <c r="J995" i="7"/>
  <c r="J992" i="7"/>
  <c r="J989" i="7"/>
  <c r="J882" i="7"/>
  <c r="J879" i="7"/>
  <c r="J733" i="7"/>
  <c r="J730" i="7"/>
  <c r="J726" i="7"/>
  <c r="J723" i="7"/>
  <c r="J716" i="7"/>
  <c r="J695" i="7"/>
  <c r="J692" i="7"/>
  <c r="J689" i="7"/>
  <c r="J660" i="7"/>
  <c r="J656" i="7"/>
  <c r="J650" i="7"/>
  <c r="J648" i="7"/>
  <c r="J586" i="7"/>
  <c r="J581" i="7"/>
  <c r="J497" i="7"/>
  <c r="J494" i="7"/>
  <c r="J491" i="7"/>
  <c r="J482" i="7"/>
  <c r="J467" i="7"/>
  <c r="J464" i="7"/>
  <c r="J458" i="7"/>
  <c r="J339" i="7"/>
  <c r="J335" i="7"/>
  <c r="J329" i="7"/>
  <c r="J325" i="7"/>
  <c r="J276" i="7"/>
  <c r="J273" i="7"/>
  <c r="J270" i="7"/>
  <c r="J265" i="7"/>
  <c r="J260" i="7"/>
  <c r="J255" i="7"/>
  <c r="J250" i="7"/>
  <c r="J245" i="7"/>
  <c r="J240" i="7"/>
  <c r="J233" i="7"/>
  <c r="J230" i="7"/>
  <c r="J227" i="7"/>
  <c r="J223" i="7"/>
  <c r="J183" i="7"/>
  <c r="J175" i="7"/>
  <c r="J168" i="7"/>
  <c r="J160" i="7"/>
  <c r="C175" i="7"/>
  <c r="C183" i="7" s="1"/>
  <c r="E95" i="7"/>
  <c r="E48" i="7"/>
  <c r="F35" i="7"/>
  <c r="F34" i="7"/>
  <c r="F33" i="7"/>
  <c r="J32" i="7"/>
  <c r="E23" i="7"/>
  <c r="E22" i="7"/>
  <c r="E21" i="7"/>
  <c r="J52" i="7" s="1"/>
  <c r="J20" i="7"/>
  <c r="J18" i="7"/>
  <c r="E18" i="7"/>
  <c r="F100" i="7" s="1"/>
  <c r="J15" i="7"/>
  <c r="E15" i="7"/>
  <c r="F52" i="7" s="1"/>
  <c r="J14" i="7"/>
  <c r="J12" i="7"/>
  <c r="J97" i="7" s="1"/>
  <c r="F12" i="7"/>
  <c r="F97" i="7" s="1"/>
  <c r="E7" i="7"/>
  <c r="E46" i="7" s="1"/>
  <c r="E25" i="3"/>
  <c r="E23" i="3"/>
  <c r="E22" i="3"/>
  <c r="E21" i="3"/>
  <c r="J20" i="3"/>
  <c r="J15" i="3"/>
  <c r="E7" i="3"/>
  <c r="F12" i="3"/>
  <c r="E15" i="3"/>
  <c r="J14" i="3"/>
  <c r="AJ100" i="6"/>
  <c r="AG58" i="6" s="1"/>
  <c r="AJ109" i="6"/>
  <c r="AG59" i="6" s="1"/>
  <c r="AJ88" i="6"/>
  <c r="AG57" i="6" s="1"/>
  <c r="H1157" i="7" l="1"/>
  <c r="H1121" i="7"/>
  <c r="H1245" i="7"/>
  <c r="J580" i="7"/>
  <c r="J65" i="7" s="1"/>
  <c r="J457" i="7"/>
  <c r="J64" i="7" s="1"/>
  <c r="H610" i="7"/>
  <c r="J610" i="7" s="1"/>
  <c r="J585" i="7" s="1"/>
  <c r="J1316" i="7"/>
  <c r="J82" i="7" s="1"/>
  <c r="H1259" i="7"/>
  <c r="J1259" i="7" s="1"/>
  <c r="H1207" i="7"/>
  <c r="J1207" i="7" s="1"/>
  <c r="J1193" i="7" s="1"/>
  <c r="H1192" i="7"/>
  <c r="J1192" i="7" s="1"/>
  <c r="J1158" i="7" s="1"/>
  <c r="H1107" i="7"/>
  <c r="H1046" i="7"/>
  <c r="J1046" i="7" s="1"/>
  <c r="J1017" i="7" s="1"/>
  <c r="H1016" i="7"/>
  <c r="J1016" i="7" s="1"/>
  <c r="H987" i="7"/>
  <c r="J987" i="7" s="1"/>
  <c r="H748" i="7"/>
  <c r="J748" i="7" s="1"/>
  <c r="J69" i="7"/>
  <c r="C191" i="7"/>
  <c r="C194" i="7" s="1"/>
  <c r="C197" i="7" s="1"/>
  <c r="C200" i="7" s="1"/>
  <c r="C203" i="7" s="1"/>
  <c r="J159" i="7"/>
  <c r="J60" i="7" s="1"/>
  <c r="J328" i="7"/>
  <c r="J63" i="7" s="1"/>
  <c r="J83" i="7"/>
  <c r="J50" i="7"/>
  <c r="F99" i="7"/>
  <c r="J81" i="7"/>
  <c r="F53" i="7"/>
  <c r="J239" i="7"/>
  <c r="J62" i="7" s="1"/>
  <c r="J212" i="7"/>
  <c r="J61" i="7" s="1"/>
  <c r="J94" i="10"/>
  <c r="F31" i="10"/>
  <c r="J31" i="10" s="1"/>
  <c r="J37" i="10" s="1"/>
  <c r="AN62" i="1" s="1"/>
  <c r="F31" i="9"/>
  <c r="J31" i="9" s="1"/>
  <c r="J37" i="9" s="1"/>
  <c r="AN60" i="1" s="1"/>
  <c r="J104" i="9"/>
  <c r="F31" i="8"/>
  <c r="J31" i="8" s="1"/>
  <c r="J37" i="8" s="1"/>
  <c r="AN56" i="1" s="1"/>
  <c r="J130" i="8"/>
  <c r="J99" i="7"/>
  <c r="J670" i="7"/>
  <c r="F50" i="7"/>
  <c r="E93" i="7"/>
  <c r="J707" i="7"/>
  <c r="H712" i="7" s="1"/>
  <c r="AG67" i="6"/>
  <c r="AI123" i="6"/>
  <c r="J712" i="7" l="1"/>
  <c r="H713" i="7" s="1"/>
  <c r="J713" i="7" s="1"/>
  <c r="C206" i="7"/>
  <c r="C209" i="7" s="1"/>
  <c r="C213" i="7" s="1"/>
  <c r="C217" i="7" s="1"/>
  <c r="C220" i="7" s="1"/>
  <c r="C223" i="7" s="1"/>
  <c r="C227" i="7" s="1"/>
  <c r="C230" i="7" s="1"/>
  <c r="J1245" i="7"/>
  <c r="J1208" i="7" s="1"/>
  <c r="J79" i="7" s="1"/>
  <c r="J78" i="7"/>
  <c r="J1107" i="7"/>
  <c r="J1121" i="7"/>
  <c r="J1157" i="7"/>
  <c r="J73" i="7"/>
  <c r="J67" i="7"/>
  <c r="J71" i="7"/>
  <c r="AL48" i="6"/>
  <c r="AL46" i="6"/>
  <c r="L48" i="6"/>
  <c r="L46" i="6"/>
  <c r="L44" i="6"/>
  <c r="C44" i="6"/>
  <c r="K6" i="6"/>
  <c r="L43" i="6" s="1"/>
  <c r="AK29" i="6"/>
  <c r="J1122" i="7" l="1"/>
  <c r="J76" i="7" s="1"/>
  <c r="J1108" i="7"/>
  <c r="J75" i="7" s="1"/>
  <c r="J1059" i="7"/>
  <c r="J74" i="7" s="1"/>
  <c r="C233" i="7"/>
  <c r="C236" i="7" s="1"/>
  <c r="C240" i="7" s="1"/>
  <c r="C245" i="7" s="1"/>
  <c r="C250" i="7" s="1"/>
  <c r="C255" i="7" s="1"/>
  <c r="C260" i="7" s="1"/>
  <c r="C265" i="7" s="1"/>
  <c r="C270" i="7" s="1"/>
  <c r="C273" i="7" s="1"/>
  <c r="C276" i="7" s="1"/>
  <c r="J673" i="7"/>
  <c r="J676" i="7"/>
  <c r="J685" i="7"/>
  <c r="J682" i="7"/>
  <c r="J679" i="7"/>
  <c r="AN58" i="6"/>
  <c r="AN57" i="6"/>
  <c r="AN56" i="6"/>
  <c r="AN59" i="6"/>
  <c r="J59" i="6"/>
  <c r="J58" i="6"/>
  <c r="J57" i="6"/>
  <c r="J55" i="6"/>
  <c r="J647" i="7" l="1"/>
  <c r="C279" i="7"/>
  <c r="C293" i="7" s="1"/>
  <c r="C303" i="7" s="1"/>
  <c r="AI124" i="6"/>
  <c r="AG54" i="6"/>
  <c r="AK25" i="6" s="1"/>
  <c r="AN55" i="6"/>
  <c r="AN54" i="6" s="1"/>
  <c r="C314" i="7" l="1"/>
  <c r="C325" i="7" s="1"/>
  <c r="C329" i="7" s="1"/>
  <c r="C335" i="7" s="1"/>
  <c r="C339" i="7" s="1"/>
  <c r="C347" i="7" s="1"/>
  <c r="J70" i="7"/>
  <c r="AG68" i="1"/>
  <c r="C353" i="7" l="1"/>
  <c r="C357" i="7" s="1"/>
  <c r="C365" i="7" s="1"/>
  <c r="C370" i="7" s="1"/>
  <c r="C373" i="7" s="1"/>
  <c r="C376" i="7" s="1"/>
  <c r="C379" i="7" s="1"/>
  <c r="C383" i="7" s="1"/>
  <c r="C386" i="7" s="1"/>
  <c r="W28" i="6"/>
  <c r="AK28" i="6" s="1"/>
  <c r="AI126" i="6"/>
  <c r="AI125" i="6"/>
  <c r="C391" i="7" l="1"/>
  <c r="C394" i="7" s="1"/>
  <c r="C397" i="7" s="1"/>
  <c r="C400" i="7" s="1"/>
  <c r="C403" i="7" s="1"/>
  <c r="C406" i="7" s="1"/>
  <c r="C409" i="7" s="1"/>
  <c r="C415" i="7" s="1"/>
  <c r="AK34" i="6"/>
  <c r="AN68" i="1" s="1"/>
  <c r="C418" i="7" l="1"/>
  <c r="C421" i="7" s="1"/>
  <c r="C424" i="7" s="1"/>
  <c r="AI127" i="6"/>
  <c r="C427" i="7" l="1"/>
  <c r="C430" i="7" s="1"/>
  <c r="C433" i="7" s="1"/>
  <c r="J967" i="3"/>
  <c r="J964" i="3"/>
  <c r="J961" i="3"/>
  <c r="J958" i="3"/>
  <c r="J955" i="3"/>
  <c r="J952" i="3"/>
  <c r="J949" i="3"/>
  <c r="J943" i="3"/>
  <c r="J937" i="3"/>
  <c r="J934" i="3"/>
  <c r="J931" i="3"/>
  <c r="J928" i="3"/>
  <c r="J919" i="3"/>
  <c r="J915" i="3"/>
  <c r="J912" i="3"/>
  <c r="J898" i="3"/>
  <c r="J895" i="3"/>
  <c r="J892" i="3"/>
  <c r="J887" i="3"/>
  <c r="J884" i="3"/>
  <c r="J874" i="3"/>
  <c r="H877" i="3" s="1"/>
  <c r="J868" i="3"/>
  <c r="J865" i="3"/>
  <c r="J862" i="3"/>
  <c r="J837" i="3"/>
  <c r="H842" i="3" s="1"/>
  <c r="J842" i="3" s="1"/>
  <c r="J831" i="3"/>
  <c r="J827" i="3"/>
  <c r="C436" i="7" l="1"/>
  <c r="C439" i="7" s="1"/>
  <c r="C442" i="7" s="1"/>
  <c r="C445" i="7" s="1"/>
  <c r="C448" i="7" s="1"/>
  <c r="C451" i="7" s="1"/>
  <c r="C454" i="7" s="1"/>
  <c r="C458" i="7" s="1"/>
  <c r="C464" i="7" s="1"/>
  <c r="C467" i="7" s="1"/>
  <c r="C473" i="7" s="1"/>
  <c r="C476" i="7" s="1"/>
  <c r="C479" i="7" s="1"/>
  <c r="C482" i="7" s="1"/>
  <c r="C485" i="7" s="1"/>
  <c r="C491" i="7" s="1"/>
  <c r="C494" i="7" s="1"/>
  <c r="C497" i="7" s="1"/>
  <c r="C500" i="7" s="1"/>
  <c r="C504" i="7" s="1"/>
  <c r="C507" i="7" s="1"/>
  <c r="C510" i="7" s="1"/>
  <c r="C513" i="7" s="1"/>
  <c r="C516" i="7" s="1"/>
  <c r="C520" i="7" s="1"/>
  <c r="C525" i="7" s="1"/>
  <c r="C529" i="7" s="1"/>
  <c r="C536" i="7" s="1"/>
  <c r="C542" i="7" s="1"/>
  <c r="C545" i="7" s="1"/>
  <c r="C548" i="7" s="1"/>
  <c r="C551" i="7" s="1"/>
  <c r="C554" i="7" s="1"/>
  <c r="C561" i="7" s="1"/>
  <c r="C568" i="7" s="1"/>
  <c r="C571" i="7" s="1"/>
  <c r="C574" i="7" s="1"/>
  <c r="C577" i="7" s="1"/>
  <c r="C581" i="7" s="1"/>
  <c r="C586" i="7" s="1"/>
  <c r="C589" i="7" s="1"/>
  <c r="J1237" i="3"/>
  <c r="J1238" i="3"/>
  <c r="J1236" i="3"/>
  <c r="H940" i="3"/>
  <c r="J940" i="3" s="1"/>
  <c r="H941" i="3" s="1"/>
  <c r="H871" i="3"/>
  <c r="H901" i="3"/>
  <c r="J901" i="3" s="1"/>
  <c r="H834" i="3"/>
  <c r="C592" i="7" l="1"/>
  <c r="C596" i="7" s="1"/>
  <c r="C599" i="7" s="1"/>
  <c r="C602" i="7" s="1"/>
  <c r="C606" i="7" s="1"/>
  <c r="C610" i="7" s="1"/>
  <c r="C612" i="7" s="1"/>
  <c r="C616" i="7" s="1"/>
  <c r="C620" i="7" s="1"/>
  <c r="J941" i="3"/>
  <c r="C624" i="7" l="1"/>
  <c r="C628" i="7" s="1"/>
  <c r="C630" i="7" s="1"/>
  <c r="C634" i="7" s="1"/>
  <c r="C637" i="7" l="1"/>
  <c r="C640" i="7" s="1"/>
  <c r="C643" i="7" s="1"/>
  <c r="C646" i="7" s="1"/>
  <c r="J809" i="3"/>
  <c r="J806" i="3"/>
  <c r="J775" i="3"/>
  <c r="J772" i="3"/>
  <c r="J769" i="3"/>
  <c r="J763" i="3"/>
  <c r="J760" i="3"/>
  <c r="J757" i="3"/>
  <c r="J754" i="3"/>
  <c r="J751" i="3"/>
  <c r="J722" i="3"/>
  <c r="J661" i="3"/>
  <c r="H778" i="3" l="1"/>
  <c r="J778" i="3" s="1"/>
  <c r="H795" i="3" s="1"/>
  <c r="H664" i="3"/>
  <c r="H725" i="3"/>
  <c r="C648" i="7"/>
  <c r="C650" i="7" s="1"/>
  <c r="C653" i="7" s="1"/>
  <c r="C656" i="7" s="1"/>
  <c r="J815" i="3"/>
  <c r="J812" i="3"/>
  <c r="H818" i="3" l="1"/>
  <c r="J818" i="3" s="1"/>
  <c r="H819" i="3" s="1"/>
  <c r="J795" i="3"/>
  <c r="C660" i="7"/>
  <c r="J664" i="3"/>
  <c r="H720" i="3" s="1"/>
  <c r="J625" i="3"/>
  <c r="J819" i="3" l="1"/>
  <c r="J720" i="3"/>
  <c r="J725" i="3"/>
  <c r="H749" i="3" s="1"/>
  <c r="C664" i="7"/>
  <c r="C667" i="7" s="1"/>
  <c r="C670" i="7" s="1"/>
  <c r="C673" i="7" s="1"/>
  <c r="C676" i="7" s="1"/>
  <c r="C679" i="7" s="1"/>
  <c r="C682" i="7" s="1"/>
  <c r="C685" i="7" s="1"/>
  <c r="C689" i="7" l="1"/>
  <c r="C692" i="7" s="1"/>
  <c r="C695" i="7" s="1"/>
  <c r="J749" i="3"/>
  <c r="C698" i="7" l="1"/>
  <c r="C701" i="7" l="1"/>
  <c r="C704" i="7" s="1"/>
  <c r="C707" i="7" s="1"/>
  <c r="C712" i="7" s="1"/>
  <c r="C713" i="7" s="1"/>
  <c r="C716" i="7" s="1"/>
  <c r="C117" i="3"/>
  <c r="J32" i="4"/>
  <c r="J32" i="2"/>
  <c r="J32" i="3"/>
  <c r="C719" i="7" l="1"/>
  <c r="C720" i="7" s="1"/>
  <c r="C723" i="7" s="1"/>
  <c r="C726" i="7" s="1"/>
  <c r="C730" i="7" s="1"/>
  <c r="C733" i="7" s="1"/>
  <c r="C736" i="7" s="1"/>
  <c r="C739" i="7" s="1"/>
  <c r="C742" i="7" s="1"/>
  <c r="C745" i="7" s="1"/>
  <c r="C748" i="7" s="1"/>
  <c r="C749" i="7" s="1"/>
  <c r="C751" i="7" s="1"/>
  <c r="C122" i="3"/>
  <c r="C127" i="3" s="1"/>
  <c r="C132" i="3" s="1"/>
  <c r="C137" i="3" s="1"/>
  <c r="C143" i="3" l="1"/>
  <c r="C148" i="3" s="1"/>
  <c r="C153" i="3" s="1"/>
  <c r="C158" i="3" s="1"/>
  <c r="C163" i="3" s="1"/>
  <c r="C168" i="3" s="1"/>
  <c r="C173" i="3" s="1"/>
  <c r="C179" i="3" s="1"/>
  <c r="C185" i="3" s="1"/>
  <c r="C191" i="3" s="1"/>
  <c r="C198" i="3" s="1"/>
  <c r="C210" i="3" s="1"/>
  <c r="C754" i="7"/>
  <c r="C757" i="7" s="1"/>
  <c r="C760" i="7" s="1"/>
  <c r="C763" i="7" s="1"/>
  <c r="C766" i="7" s="1"/>
  <c r="C769" i="7" s="1"/>
  <c r="C772" i="7" s="1"/>
  <c r="C775" i="7" s="1"/>
  <c r="C778" i="7" s="1"/>
  <c r="C781" i="7" s="1"/>
  <c r="C784" i="7" s="1"/>
  <c r="C787" i="7" s="1"/>
  <c r="C790" i="7" s="1"/>
  <c r="C793" i="7" s="1"/>
  <c r="C796" i="7" s="1"/>
  <c r="C797" i="7" s="1"/>
  <c r="C222" i="3" l="1"/>
  <c r="C235" i="3" s="1"/>
  <c r="C240" i="3" s="1"/>
  <c r="C253" i="3" s="1"/>
  <c r="C256" i="3" s="1"/>
  <c r="C799" i="7"/>
  <c r="C802" i="7" s="1"/>
  <c r="C805" i="7" s="1"/>
  <c r="C808" i="7" s="1"/>
  <c r="C811" i="7" s="1"/>
  <c r="C814" i="7" s="1"/>
  <c r="J1313" i="3" l="1"/>
  <c r="C269" i="3"/>
  <c r="C282" i="3" s="1"/>
  <c r="C295" i="3" s="1"/>
  <c r="C301" i="3" s="1"/>
  <c r="C817" i="7"/>
  <c r="C820" i="7" s="1"/>
  <c r="C823" i="7" s="1"/>
  <c r="C826" i="7" s="1"/>
  <c r="H202" i="4"/>
  <c r="H200" i="4" s="1"/>
  <c r="H199" i="4"/>
  <c r="H197" i="4" s="1"/>
  <c r="H196" i="4"/>
  <c r="H194" i="4" s="1"/>
  <c r="J194" i="4" s="1"/>
  <c r="H193" i="4"/>
  <c r="H191" i="4" s="1"/>
  <c r="H190" i="4"/>
  <c r="H188" i="4" s="1"/>
  <c r="H184" i="4"/>
  <c r="H182" i="4" s="1"/>
  <c r="H187" i="4"/>
  <c r="H185" i="4" s="1"/>
  <c r="H158" i="4"/>
  <c r="H156" i="4" s="1"/>
  <c r="H155" i="4"/>
  <c r="H153" i="4" s="1"/>
  <c r="C147" i="4"/>
  <c r="C150" i="4" s="1"/>
  <c r="C153" i="4" s="1"/>
  <c r="H221" i="2"/>
  <c r="H219" i="2" s="1"/>
  <c r="J219" i="2" s="1"/>
  <c r="H217" i="2"/>
  <c r="H218" i="2" s="1"/>
  <c r="H216" i="2" s="1"/>
  <c r="H214" i="2"/>
  <c r="H215" i="2" s="1"/>
  <c r="H213" i="2" s="1"/>
  <c r="H185" i="2"/>
  <c r="H183" i="2" s="1"/>
  <c r="J183" i="2" s="1"/>
  <c r="H173" i="2"/>
  <c r="H171" i="2" s="1"/>
  <c r="J171" i="2" s="1"/>
  <c r="H167" i="2"/>
  <c r="H165" i="2" s="1"/>
  <c r="J165" i="2" s="1"/>
  <c r="H161" i="2"/>
  <c r="H159" i="2" s="1"/>
  <c r="H158" i="2"/>
  <c r="H156" i="2" s="1"/>
  <c r="J156" i="2" s="1"/>
  <c r="H164" i="2"/>
  <c r="H162" i="2" s="1"/>
  <c r="J162" i="2" s="1"/>
  <c r="C95" i="2"/>
  <c r="C99" i="2" s="1"/>
  <c r="C105" i="2" s="1"/>
  <c r="C113" i="2" s="1"/>
  <c r="C121" i="2" s="1"/>
  <c r="C129" i="2" s="1"/>
  <c r="C137" i="2" s="1"/>
  <c r="C308" i="3" l="1"/>
  <c r="C314" i="3" s="1"/>
  <c r="C317" i="3" s="1"/>
  <c r="C321" i="3" s="1"/>
  <c r="C324" i="3" s="1"/>
  <c r="C329" i="3" s="1"/>
  <c r="C332" i="3" s="1"/>
  <c r="C338" i="3" s="1"/>
  <c r="C349" i="3" s="1"/>
  <c r="C829" i="7"/>
  <c r="C832" i="7" s="1"/>
  <c r="C149" i="2"/>
  <c r="C153" i="2" s="1"/>
  <c r="C156" i="2" s="1"/>
  <c r="C159" i="2" s="1"/>
  <c r="C162" i="2" s="1"/>
  <c r="C165" i="2" s="1"/>
  <c r="J200" i="4"/>
  <c r="J197" i="4"/>
  <c r="J191" i="4"/>
  <c r="J188" i="4"/>
  <c r="J185" i="4"/>
  <c r="J182" i="4"/>
  <c r="C156" i="4"/>
  <c r="J156" i="4"/>
  <c r="J153" i="4"/>
  <c r="H146" i="4"/>
  <c r="H144" i="4" s="1"/>
  <c r="J216" i="2"/>
  <c r="J213" i="2"/>
  <c r="J159" i="2"/>
  <c r="H120" i="2"/>
  <c r="H113" i="2" s="1"/>
  <c r="H94" i="2"/>
  <c r="H90" i="2" s="1"/>
  <c r="H99" i="2"/>
  <c r="H128" i="2"/>
  <c r="H121" i="2" s="1"/>
  <c r="H136" i="2"/>
  <c r="H129" i="2" s="1"/>
  <c r="H148" i="2"/>
  <c r="H137" i="2" s="1"/>
  <c r="H105" i="2"/>
  <c r="H98" i="2"/>
  <c r="H95" i="2" s="1"/>
  <c r="I222" i="2" l="1"/>
  <c r="C360" i="3"/>
  <c r="C363" i="3" s="1"/>
  <c r="C366" i="3" s="1"/>
  <c r="C835" i="7"/>
  <c r="C838" i="7" s="1"/>
  <c r="C841" i="7" s="1"/>
  <c r="C844" i="7" s="1"/>
  <c r="C847" i="7" s="1"/>
  <c r="C850" i="7" s="1"/>
  <c r="C853" i="7" s="1"/>
  <c r="C856" i="7" s="1"/>
  <c r="C159" i="4"/>
  <c r="C162" i="4" s="1"/>
  <c r="C165" i="4" s="1"/>
  <c r="C168" i="4" s="1"/>
  <c r="C171" i="4" s="1"/>
  <c r="C174" i="4" s="1"/>
  <c r="C177" i="4" s="1"/>
  <c r="C182" i="4" s="1"/>
  <c r="C185" i="4" s="1"/>
  <c r="C188" i="4" s="1"/>
  <c r="C191" i="4" s="1"/>
  <c r="I203" i="4"/>
  <c r="C168" i="2"/>
  <c r="C171" i="2" s="1"/>
  <c r="C174" i="2" s="1"/>
  <c r="J144" i="4"/>
  <c r="J129" i="2"/>
  <c r="J137" i="2"/>
  <c r="J113" i="2"/>
  <c r="J90" i="2"/>
  <c r="J121" i="2"/>
  <c r="J105" i="2"/>
  <c r="J99" i="2"/>
  <c r="J95" i="2"/>
  <c r="C369" i="3" l="1"/>
  <c r="C373" i="3" s="1"/>
  <c r="C384" i="3" s="1"/>
  <c r="C394" i="3" s="1"/>
  <c r="C403" i="3" s="1"/>
  <c r="C408" i="3" s="1"/>
  <c r="C412" i="3" s="1"/>
  <c r="C416" i="3" s="1"/>
  <c r="C859" i="7"/>
  <c r="C862" i="7" s="1"/>
  <c r="C865" i="7" s="1"/>
  <c r="C868" i="7" s="1"/>
  <c r="C871" i="7" s="1"/>
  <c r="C874" i="7" s="1"/>
  <c r="C877" i="7" s="1"/>
  <c r="C879" i="7" s="1"/>
  <c r="C882" i="7" s="1"/>
  <c r="C885" i="7" s="1"/>
  <c r="C889" i="7" s="1"/>
  <c r="C892" i="7" s="1"/>
  <c r="C895" i="7" s="1"/>
  <c r="C898" i="7" s="1"/>
  <c r="C901" i="7" s="1"/>
  <c r="C194" i="4"/>
  <c r="C197" i="4" s="1"/>
  <c r="C200" i="4" s="1"/>
  <c r="C203" i="4" s="1"/>
  <c r="C177" i="2"/>
  <c r="J203" i="4"/>
  <c r="J222" i="2"/>
  <c r="C419" i="3" l="1"/>
  <c r="C425" i="3" s="1"/>
  <c r="C428" i="3" s="1"/>
  <c r="C433" i="3" s="1"/>
  <c r="C437" i="3" s="1"/>
  <c r="C443" i="3" s="1"/>
  <c r="C449" i="3" s="1"/>
  <c r="C462" i="3" s="1"/>
  <c r="C475" i="3" s="1"/>
  <c r="C479" i="3" s="1"/>
  <c r="C482" i="3" s="1"/>
  <c r="C485" i="3" s="1"/>
  <c r="C492" i="3" s="1"/>
  <c r="C499" i="3" s="1"/>
  <c r="C502" i="3" s="1"/>
  <c r="C505" i="3" s="1"/>
  <c r="C508" i="3" s="1"/>
  <c r="C518" i="3" s="1"/>
  <c r="C528" i="3" s="1"/>
  <c r="C537" i="3" s="1"/>
  <c r="C546" i="3" s="1"/>
  <c r="C557" i="3" s="1"/>
  <c r="C564" i="3" s="1"/>
  <c r="C571" i="3" s="1"/>
  <c r="C574" i="3" s="1"/>
  <c r="C577" i="3" s="1"/>
  <c r="C580" i="3" s="1"/>
  <c r="C584" i="3" s="1"/>
  <c r="C589" i="3" s="1"/>
  <c r="C598" i="3" s="1"/>
  <c r="C600" i="3" s="1"/>
  <c r="C603" i="3" s="1"/>
  <c r="C904" i="7"/>
  <c r="C907" i="7" s="1"/>
  <c r="C183" i="2"/>
  <c r="C186" i="2" s="1"/>
  <c r="C189" i="2" s="1"/>
  <c r="C192" i="2" s="1"/>
  <c r="C195" i="2" s="1"/>
  <c r="C198" i="2" s="1"/>
  <c r="C180" i="2"/>
  <c r="J81" i="2"/>
  <c r="J80" i="2" s="1"/>
  <c r="J79" i="2" s="1"/>
  <c r="J233" i="2" s="1"/>
  <c r="C606" i="3" l="1"/>
  <c r="C609" i="3" s="1"/>
  <c r="C612" i="3" s="1"/>
  <c r="C615" i="3" s="1"/>
  <c r="C618" i="3" s="1"/>
  <c r="C621" i="3" s="1"/>
  <c r="C623" i="3" s="1"/>
  <c r="C625" i="3" s="1"/>
  <c r="C629" i="3" s="1"/>
  <c r="C633" i="3" s="1"/>
  <c r="C637" i="3" s="1"/>
  <c r="C641" i="3" s="1"/>
  <c r="C911" i="7"/>
  <c r="C914" i="7" s="1"/>
  <c r="C917" i="7" s="1"/>
  <c r="C920" i="7" s="1"/>
  <c r="C923" i="7" s="1"/>
  <c r="C926" i="7" s="1"/>
  <c r="C929" i="7" s="1"/>
  <c r="C932" i="7" s="1"/>
  <c r="C935" i="7" s="1"/>
  <c r="C938" i="7" s="1"/>
  <c r="C941" i="7" s="1"/>
  <c r="C944" i="7" s="1"/>
  <c r="C947" i="7" s="1"/>
  <c r="C950" i="7" s="1"/>
  <c r="C953" i="7" s="1"/>
  <c r="C956" i="7" s="1"/>
  <c r="C959" i="7" s="1"/>
  <c r="C962" i="7" s="1"/>
  <c r="C965" i="7" s="1"/>
  <c r="C968" i="7" s="1"/>
  <c r="C971" i="7" s="1"/>
  <c r="C981" i="7" s="1"/>
  <c r="C984" i="7" s="1"/>
  <c r="C987" i="7" s="1"/>
  <c r="C989" i="7" s="1"/>
  <c r="C992" i="7" s="1"/>
  <c r="C995" i="7" s="1"/>
  <c r="C998" i="7" s="1"/>
  <c r="C201" i="2"/>
  <c r="C204" i="2" s="1"/>
  <c r="C207" i="2" s="1"/>
  <c r="C210" i="2" s="1"/>
  <c r="C213" i="2" s="1"/>
  <c r="C216" i="2" s="1"/>
  <c r="C219" i="2" s="1"/>
  <c r="AK28" i="1"/>
  <c r="C645" i="3" l="1"/>
  <c r="C648" i="3" s="1"/>
  <c r="C651" i="3" s="1"/>
  <c r="C654" i="3" s="1"/>
  <c r="C657" i="3" s="1"/>
  <c r="C661" i="3" s="1"/>
  <c r="C1001" i="7"/>
  <c r="C1004" i="7" s="1"/>
  <c r="C1007" i="7" s="1"/>
  <c r="C1010" i="7" s="1"/>
  <c r="C1013" i="7" s="1"/>
  <c r="C1016" i="7" s="1"/>
  <c r="C1019" i="7" s="1"/>
  <c r="C222" i="2"/>
  <c r="C664" i="3" l="1"/>
  <c r="C665" i="3" s="1"/>
  <c r="C668" i="3" s="1"/>
  <c r="C671" i="3" s="1"/>
  <c r="C674" i="3" s="1"/>
  <c r="C677" i="3" s="1"/>
  <c r="C680" i="3" s="1"/>
  <c r="C683" i="3" s="1"/>
  <c r="C686" i="3" s="1"/>
  <c r="C689" i="3" s="1"/>
  <c r="C692" i="3" s="1"/>
  <c r="C695" i="3" s="1"/>
  <c r="C698" i="3" s="1"/>
  <c r="C701" i="3" s="1"/>
  <c r="C704" i="3" s="1"/>
  <c r="C707" i="3" s="1"/>
  <c r="C1024" i="7"/>
  <c r="C1029" i="7" s="1"/>
  <c r="C1032" i="7" s="1"/>
  <c r="C1037" i="7" s="1"/>
  <c r="F35" i="4"/>
  <c r="F34" i="4"/>
  <c r="F33" i="4"/>
  <c r="J75" i="4"/>
  <c r="F75" i="4"/>
  <c r="F73" i="4"/>
  <c r="E71" i="4"/>
  <c r="J52" i="4"/>
  <c r="F52" i="4"/>
  <c r="F50" i="4"/>
  <c r="E48" i="4"/>
  <c r="J18" i="4"/>
  <c r="E18" i="4"/>
  <c r="F76" i="4" s="1"/>
  <c r="J17" i="4"/>
  <c r="J12" i="4"/>
  <c r="J73" i="4" s="1"/>
  <c r="E7" i="4"/>
  <c r="E46" i="4" s="1"/>
  <c r="J1635" i="3"/>
  <c r="J1582" i="3"/>
  <c r="J1573" i="3"/>
  <c r="J1559" i="3"/>
  <c r="J1308" i="3"/>
  <c r="J1305" i="3"/>
  <c r="J1268" i="3"/>
  <c r="H1303" i="3" s="1"/>
  <c r="J1303" i="3" s="1"/>
  <c r="J1232" i="3"/>
  <c r="J1231" i="3" s="1"/>
  <c r="J904" i="3"/>
  <c r="J821" i="3"/>
  <c r="J623" i="3"/>
  <c r="J622" i="3" s="1"/>
  <c r="J584" i="3"/>
  <c r="J117" i="3"/>
  <c r="J107" i="3"/>
  <c r="J98" i="3"/>
  <c r="F98" i="3"/>
  <c r="F96" i="3"/>
  <c r="E94" i="3"/>
  <c r="J52" i="3"/>
  <c r="F52" i="3"/>
  <c r="F50" i="3"/>
  <c r="E48" i="3"/>
  <c r="J18" i="3"/>
  <c r="E18" i="3"/>
  <c r="F99" i="3" s="1"/>
  <c r="J12" i="3"/>
  <c r="J96" i="3" s="1"/>
  <c r="E46" i="3"/>
  <c r="F35" i="2"/>
  <c r="F34" i="2"/>
  <c r="F33" i="2"/>
  <c r="J75" i="2"/>
  <c r="F75" i="2"/>
  <c r="E71" i="2"/>
  <c r="J52" i="2"/>
  <c r="F52" i="2"/>
  <c r="E48" i="2"/>
  <c r="J18" i="2"/>
  <c r="E18" i="2"/>
  <c r="F76" i="2" s="1"/>
  <c r="J17" i="2"/>
  <c r="J12" i="2"/>
  <c r="J50" i="2" s="1"/>
  <c r="E7" i="2"/>
  <c r="E69" i="2" s="1"/>
  <c r="L48" i="1"/>
  <c r="AM47" i="1"/>
  <c r="L47" i="1"/>
  <c r="AM45" i="1"/>
  <c r="L45" i="1"/>
  <c r="F12" i="14" s="1"/>
  <c r="L43" i="1"/>
  <c r="L42" i="1"/>
  <c r="H1311" i="3" l="1"/>
  <c r="J1311" i="3" s="1"/>
  <c r="F50" i="14"/>
  <c r="F74" i="14"/>
  <c r="J834" i="3"/>
  <c r="H835" i="3" s="1"/>
  <c r="C710" i="3"/>
  <c r="C713" i="3" s="1"/>
  <c r="C719" i="3" s="1"/>
  <c r="C720" i="3" s="1"/>
  <c r="C722" i="3" s="1"/>
  <c r="C725" i="3" s="1"/>
  <c r="C726" i="3" s="1"/>
  <c r="C729" i="3" s="1"/>
  <c r="C732" i="3" s="1"/>
  <c r="J142" i="3"/>
  <c r="F12" i="11"/>
  <c r="F12" i="9"/>
  <c r="F12" i="10"/>
  <c r="F12" i="13"/>
  <c r="F12" i="12"/>
  <c r="F12" i="8"/>
  <c r="F12" i="2"/>
  <c r="J1581" i="3"/>
  <c r="J1558" i="3"/>
  <c r="J72" i="3"/>
  <c r="J1634" i="3"/>
  <c r="J583" i="3"/>
  <c r="J65" i="3" s="1"/>
  <c r="J1267" i="3"/>
  <c r="J1536" i="3"/>
  <c r="J1466" i="3"/>
  <c r="J69" i="3"/>
  <c r="J73" i="2"/>
  <c r="F33" i="3"/>
  <c r="W29" i="1" s="1"/>
  <c r="E92" i="3"/>
  <c r="F34" i="3"/>
  <c r="E69" i="4"/>
  <c r="F53" i="2"/>
  <c r="F35" i="3"/>
  <c r="W31" i="1" s="1"/>
  <c r="F53" i="3"/>
  <c r="J59" i="2"/>
  <c r="J50" i="3"/>
  <c r="J50" i="4"/>
  <c r="E46" i="2"/>
  <c r="F53" i="4"/>
  <c r="C735" i="3" l="1"/>
  <c r="C738" i="3" s="1"/>
  <c r="C741" i="3" s="1"/>
  <c r="C744" i="3" s="1"/>
  <c r="C748" i="3" s="1"/>
  <c r="C749" i="3" s="1"/>
  <c r="C751" i="3" s="1"/>
  <c r="C754" i="3" s="1"/>
  <c r="C757" i="3" s="1"/>
  <c r="C760" i="3" s="1"/>
  <c r="C763" i="3" s="1"/>
  <c r="C766" i="3" s="1"/>
  <c r="C769" i="3" s="1"/>
  <c r="C772" i="3" s="1"/>
  <c r="C775" i="3" s="1"/>
  <c r="C778" i="3" s="1"/>
  <c r="C779" i="3" s="1"/>
  <c r="C782" i="3" s="1"/>
  <c r="C785" i="3" s="1"/>
  <c r="C1040" i="7"/>
  <c r="C1043" i="7" s="1"/>
  <c r="C1046" i="7" s="1"/>
  <c r="C1047" i="7" s="1"/>
  <c r="C1048" i="7" s="1"/>
  <c r="C1050" i="7" s="1"/>
  <c r="C1053" i="7" s="1"/>
  <c r="C1056" i="7" s="1"/>
  <c r="C1060" i="7" s="1"/>
  <c r="C1068" i="7" s="1"/>
  <c r="C1072" i="7" s="1"/>
  <c r="F73" i="8"/>
  <c r="F50" i="8"/>
  <c r="F50" i="12"/>
  <c r="F73" i="12"/>
  <c r="F50" i="2"/>
  <c r="F73" i="2"/>
  <c r="F73" i="13"/>
  <c r="F50" i="13"/>
  <c r="F50" i="10"/>
  <c r="F73" i="10"/>
  <c r="F73" i="9"/>
  <c r="F50" i="9"/>
  <c r="F73" i="11"/>
  <c r="F50" i="11"/>
  <c r="J73" i="3"/>
  <c r="J80" i="3"/>
  <c r="J79" i="3"/>
  <c r="J81" i="3"/>
  <c r="J75" i="3"/>
  <c r="J78" i="3"/>
  <c r="J62" i="3"/>
  <c r="J60" i="3"/>
  <c r="J59" i="3"/>
  <c r="J82" i="3"/>
  <c r="W30" i="1"/>
  <c r="J58" i="2"/>
  <c r="C788" i="3" l="1"/>
  <c r="C791" i="3" s="1"/>
  <c r="C794" i="3" s="1"/>
  <c r="C795" i="3" s="1"/>
  <c r="C797" i="3" s="1"/>
  <c r="C802" i="3" s="1"/>
  <c r="C1075" i="7"/>
  <c r="C1081" i="7" s="1"/>
  <c r="C1087" i="7" s="1"/>
  <c r="C1091" i="7" s="1"/>
  <c r="C1095" i="7" s="1"/>
  <c r="J76" i="3"/>
  <c r="J28" i="2"/>
  <c r="AG63" i="1" s="1"/>
  <c r="J57" i="2"/>
  <c r="J234" i="2" s="1"/>
  <c r="J235" i="2" s="1"/>
  <c r="C805" i="3" l="1"/>
  <c r="C806" i="3" s="1"/>
  <c r="C809" i="3" s="1"/>
  <c r="C812" i="3" s="1"/>
  <c r="C815" i="3" s="1"/>
  <c r="C818" i="3" s="1"/>
  <c r="C819" i="3" s="1"/>
  <c r="C821" i="3" s="1"/>
  <c r="C1099" i="7"/>
  <c r="C1103" i="7" s="1"/>
  <c r="C1107" i="7" s="1"/>
  <c r="C1109" i="7" s="1"/>
  <c r="C1113" i="7" s="1"/>
  <c r="C1117" i="7" s="1"/>
  <c r="C1121" i="7" s="1"/>
  <c r="C1123" i="7" s="1"/>
  <c r="F31" i="2"/>
  <c r="C824" i="3" l="1"/>
  <c r="C827" i="3" s="1"/>
  <c r="C831" i="3" s="1"/>
  <c r="C834" i="3" s="1"/>
  <c r="C835" i="3" s="1"/>
  <c r="C837" i="3" s="1"/>
  <c r="C1127" i="7"/>
  <c r="C1131" i="7" s="1"/>
  <c r="J31" i="2"/>
  <c r="C1135" i="7" l="1"/>
  <c r="C1138" i="7" s="1"/>
  <c r="C1143" i="7" s="1"/>
  <c r="C1147" i="7" s="1"/>
  <c r="C1151" i="7" s="1"/>
  <c r="C1154" i="7" s="1"/>
  <c r="C1157" i="7" s="1"/>
  <c r="C1159" i="7" s="1"/>
  <c r="C1162" i="7" s="1"/>
  <c r="J37" i="2"/>
  <c r="AN63" i="1" s="1"/>
  <c r="C838" i="3" l="1"/>
  <c r="C842" i="3" s="1"/>
  <c r="C843" i="3" s="1"/>
  <c r="C847" i="3" s="1"/>
  <c r="C851" i="3" s="1"/>
  <c r="C855" i="3" s="1"/>
  <c r="C1165" i="7"/>
  <c r="C1168" i="7" l="1"/>
  <c r="C859" i="3"/>
  <c r="C860" i="3" s="1"/>
  <c r="C1171" i="7" l="1"/>
  <c r="C1174" i="7" s="1"/>
  <c r="C1177" i="7" s="1"/>
  <c r="C1180" i="7" s="1"/>
  <c r="C1183" i="7" s="1"/>
  <c r="C1186" i="7" s="1"/>
  <c r="C1189" i="7" s="1"/>
  <c r="C862" i="3"/>
  <c r="C865" i="3" s="1"/>
  <c r="C868" i="3" s="1"/>
  <c r="C871" i="3" s="1"/>
  <c r="C872" i="3" s="1"/>
  <c r="C874" i="3" s="1"/>
  <c r="C1192" i="7" l="1"/>
  <c r="C1194" i="7" s="1"/>
  <c r="C1204" i="7" s="1"/>
  <c r="C1207" i="7" s="1"/>
  <c r="C1209" i="7" s="1"/>
  <c r="C877" i="3"/>
  <c r="C878" i="3" s="1"/>
  <c r="C881" i="3" s="1"/>
  <c r="C884" i="3" s="1"/>
  <c r="C887" i="3" s="1"/>
  <c r="C892" i="3" s="1"/>
  <c r="C895" i="3" s="1"/>
  <c r="C898" i="3" s="1"/>
  <c r="C901" i="3" l="1"/>
  <c r="C902" i="3" s="1"/>
  <c r="C1215" i="7"/>
  <c r="C1221" i="7" s="1"/>
  <c r="C1227" i="7" s="1"/>
  <c r="C1233" i="7" s="1"/>
  <c r="C1239" i="7" s="1"/>
  <c r="C904" i="3" l="1"/>
  <c r="C907" i="3" s="1"/>
  <c r="C1245" i="7"/>
  <c r="C1247" i="7" s="1"/>
  <c r="C1250" i="7" s="1"/>
  <c r="C1253" i="7" s="1"/>
  <c r="C1256" i="7" s="1"/>
  <c r="C1259" i="7" s="1"/>
  <c r="C1261" i="7" s="1"/>
  <c r="H116" i="4"/>
  <c r="J116" i="4" s="1"/>
  <c r="J85" i="4" s="1"/>
  <c r="C908" i="3" l="1"/>
  <c r="C909" i="3" s="1"/>
  <c r="C912" i="3" s="1"/>
  <c r="C915" i="3" s="1"/>
  <c r="C919" i="3" s="1"/>
  <c r="C1284" i="7"/>
  <c r="C1292" i="7" s="1"/>
  <c r="J84" i="4"/>
  <c r="J59" i="4"/>
  <c r="C922" i="3" l="1"/>
  <c r="C925" i="3" s="1"/>
  <c r="C928" i="3" s="1"/>
  <c r="C931" i="3" s="1"/>
  <c r="C934" i="3" s="1"/>
  <c r="C937" i="3" s="1"/>
  <c r="C940" i="3" s="1"/>
  <c r="C941" i="3" s="1"/>
  <c r="C1300" i="7"/>
  <c r="C1308" i="7" s="1"/>
  <c r="C1317" i="7" s="1"/>
  <c r="C1325" i="7" s="1"/>
  <c r="C1334" i="7" s="1"/>
  <c r="J58" i="4"/>
  <c r="J79" i="4"/>
  <c r="C943" i="3" l="1"/>
  <c r="J28" i="4"/>
  <c r="J57" i="4"/>
  <c r="J215" i="4" s="1"/>
  <c r="J214" i="4"/>
  <c r="C946" i="3" l="1"/>
  <c r="C949" i="3" s="1"/>
  <c r="C952" i="3" s="1"/>
  <c r="C955" i="3" s="1"/>
  <c r="C958" i="3" s="1"/>
  <c r="C961" i="3" s="1"/>
  <c r="C964" i="3" s="1"/>
  <c r="C967" i="3" s="1"/>
  <c r="C970" i="3" s="1"/>
  <c r="C975" i="3" s="1"/>
  <c r="C980" i="3" s="1"/>
  <c r="C983" i="3" s="1"/>
  <c r="C986" i="3" s="1"/>
  <c r="C989" i="3" s="1"/>
  <c r="C992" i="3" s="1"/>
  <c r="C995" i="3" s="1"/>
  <c r="C1000" i="3" s="1"/>
  <c r="C1003" i="3" s="1"/>
  <c r="C1008" i="3" s="1"/>
  <c r="J216" i="4"/>
  <c r="AG55" i="1"/>
  <c r="F31" i="4"/>
  <c r="J31" i="4" s="1"/>
  <c r="J37" i="4" s="1"/>
  <c r="AN55" i="1" s="1"/>
  <c r="J149" i="7"/>
  <c r="J105" i="7" s="1"/>
  <c r="J104" i="7" s="1"/>
  <c r="C1013" i="3" l="1"/>
  <c r="J58" i="7"/>
  <c r="J59" i="7"/>
  <c r="H749" i="7"/>
  <c r="J749" i="7" s="1"/>
  <c r="H719" i="7" s="1"/>
  <c r="J719" i="7" s="1"/>
  <c r="J715" i="7" s="1"/>
  <c r="C1016" i="3" l="1"/>
  <c r="C1021" i="3" s="1"/>
  <c r="C1024" i="3" s="1"/>
  <c r="C1029" i="3" s="1"/>
  <c r="C1032" i="3" s="1"/>
  <c r="C1035" i="3" s="1"/>
  <c r="J72" i="7"/>
  <c r="C1038" i="3" l="1"/>
  <c r="C1041" i="3" s="1"/>
  <c r="J77" i="7"/>
  <c r="C1044" i="3" l="1"/>
  <c r="C1047" i="3" s="1"/>
  <c r="C1050" i="3" s="1"/>
  <c r="C1053" i="3" s="1"/>
  <c r="C1056" i="3" s="1"/>
  <c r="C1058" i="3" s="1"/>
  <c r="C1061" i="3" s="1"/>
  <c r="J1246" i="7"/>
  <c r="C1064" i="3" l="1"/>
  <c r="C1067" i="3" s="1"/>
  <c r="C1071" i="3" s="1"/>
  <c r="J80" i="7"/>
  <c r="J584" i="7"/>
  <c r="C1074" i="3" l="1"/>
  <c r="C1077" i="3" s="1"/>
  <c r="C1080" i="3" s="1"/>
  <c r="C1083" i="3" s="1"/>
  <c r="C1086" i="3" s="1"/>
  <c r="C1089" i="3" s="1"/>
  <c r="C1092" i="3" s="1"/>
  <c r="C1095" i="3" s="1"/>
  <c r="C1098" i="3" s="1"/>
  <c r="C1103" i="3" s="1"/>
  <c r="C1106" i="3" s="1"/>
  <c r="J66" i="7"/>
  <c r="J103" i="7"/>
  <c r="J1347" i="7" s="1"/>
  <c r="C1109" i="3" l="1"/>
  <c r="C1112" i="3" s="1"/>
  <c r="C1117" i="3" s="1"/>
  <c r="C1122" i="3" s="1"/>
  <c r="C1125" i="3" s="1"/>
  <c r="C1128" i="3" s="1"/>
  <c r="C1131" i="3" s="1"/>
  <c r="C1134" i="3" s="1"/>
  <c r="C1137" i="3" s="1"/>
  <c r="C1142" i="3" s="1"/>
  <c r="C1145" i="3" s="1"/>
  <c r="C1150" i="3" s="1"/>
  <c r="C1155" i="3" s="1"/>
  <c r="C1158" i="3" s="1"/>
  <c r="C1163" i="3" s="1"/>
  <c r="C1166" i="3" s="1"/>
  <c r="C1171" i="3" s="1"/>
  <c r="C1174" i="3" s="1"/>
  <c r="C1177" i="3" s="1"/>
  <c r="C1180" i="3" s="1"/>
  <c r="C1183" i="3" s="1"/>
  <c r="C1186" i="3" s="1"/>
  <c r="C1189" i="3" s="1"/>
  <c r="C1192" i="3" s="1"/>
  <c r="C1195" i="3" s="1"/>
  <c r="C1198" i="3" s="1"/>
  <c r="C1201" i="3" s="1"/>
  <c r="C1204" i="3" s="1"/>
  <c r="C1206" i="3" s="1"/>
  <c r="C1209" i="3" s="1"/>
  <c r="C1212" i="3" s="1"/>
  <c r="C1215" i="3" s="1"/>
  <c r="C1218" i="3" s="1"/>
  <c r="C1221" i="3" s="1"/>
  <c r="C1224" i="3" s="1"/>
  <c r="C1227" i="3" s="1"/>
  <c r="C1230" i="3" s="1"/>
  <c r="C1232" i="3" s="1"/>
  <c r="C1233" i="3" s="1"/>
  <c r="C1236" i="3" s="1"/>
  <c r="C1237" i="3" s="1"/>
  <c r="C1238" i="3" s="1"/>
  <c r="C1240" i="3" s="1"/>
  <c r="C1243" i="3" s="1"/>
  <c r="C1246" i="3" s="1"/>
  <c r="C1249" i="3" s="1"/>
  <c r="C1252" i="3" s="1"/>
  <c r="C1254" i="3" s="1"/>
  <c r="C1257" i="3" s="1"/>
  <c r="C1260" i="3" s="1"/>
  <c r="C1263" i="3" s="1"/>
  <c r="C1266" i="3" s="1"/>
  <c r="J28" i="7"/>
  <c r="J57" i="7"/>
  <c r="J1348" i="7" s="1"/>
  <c r="C1268" i="3" l="1"/>
  <c r="C1272" i="3" s="1"/>
  <c r="C1276" i="3" s="1"/>
  <c r="C1280" i="3" s="1"/>
  <c r="C1283" i="3" s="1"/>
  <c r="C1286" i="3" s="1"/>
  <c r="C1291" i="3" s="1"/>
  <c r="C1295" i="3" s="1"/>
  <c r="C1299" i="3" s="1"/>
  <c r="C1303" i="3" s="1"/>
  <c r="C1305" i="3" s="1"/>
  <c r="C1308" i="3" s="1"/>
  <c r="C1311" i="3" s="1"/>
  <c r="C1314" i="3" s="1"/>
  <c r="C1317" i="3" s="1"/>
  <c r="C1320" i="3" s="1"/>
  <c r="C1323" i="3" s="1"/>
  <c r="C1326" i="3" s="1"/>
  <c r="C1331" i="3" s="1"/>
  <c r="C1335" i="3" s="1"/>
  <c r="C1338" i="3" s="1"/>
  <c r="C1341" i="3" s="1"/>
  <c r="C1344" i="3" s="1"/>
  <c r="C1347" i="3" s="1"/>
  <c r="J1349" i="7"/>
  <c r="AG54" i="1"/>
  <c r="F31" i="7"/>
  <c r="J31" i="7" s="1"/>
  <c r="J37" i="7" s="1"/>
  <c r="AN54" i="1" s="1"/>
  <c r="H122" i="3"/>
  <c r="J122" i="3" s="1"/>
  <c r="J106" i="3" s="1"/>
  <c r="C1350" i="3" l="1"/>
  <c r="C1353" i="3" s="1"/>
  <c r="P122" i="3"/>
  <c r="J61" i="3"/>
  <c r="J403" i="3"/>
  <c r="J197" i="3" s="1"/>
  <c r="C1360" i="3" l="1"/>
  <c r="C1367" i="3" s="1"/>
  <c r="C1374" i="3" s="1"/>
  <c r="C1381" i="3" s="1"/>
  <c r="C1388" i="3" s="1"/>
  <c r="C1395" i="3" s="1"/>
  <c r="C1399" i="3" s="1"/>
  <c r="C1403" i="3" s="1"/>
  <c r="C1406" i="3" s="1"/>
  <c r="J63" i="3"/>
  <c r="P403" i="3"/>
  <c r="H585" i="3" s="1"/>
  <c r="H475" i="3"/>
  <c r="J475" i="3" s="1"/>
  <c r="C1409" i="3" l="1"/>
  <c r="C1416" i="3" s="1"/>
  <c r="C1423" i="3" s="1"/>
  <c r="C1426" i="3" s="1"/>
  <c r="C1429" i="3" s="1"/>
  <c r="C1432" i="3" s="1"/>
  <c r="C1435" i="3" s="1"/>
  <c r="C1438" i="3" s="1"/>
  <c r="C1441" i="3" s="1"/>
  <c r="C1443" i="3" s="1"/>
  <c r="C1446" i="3" s="1"/>
  <c r="C1449" i="3" s="1"/>
  <c r="O475" i="3"/>
  <c r="H572" i="3" s="1"/>
  <c r="C1454" i="3" l="1"/>
  <c r="C1459" i="3" s="1"/>
  <c r="C1462" i="3" s="1"/>
  <c r="C1465" i="3" s="1"/>
  <c r="C1467" i="3" s="1"/>
  <c r="C1479" i="3" s="1"/>
  <c r="C1491" i="3" s="1"/>
  <c r="C1502" i="3" s="1"/>
  <c r="C1513" i="3" s="1"/>
  <c r="C1524" i="3" s="1"/>
  <c r="C1535" i="3" s="1"/>
  <c r="C1537" i="3" s="1"/>
  <c r="C1542" i="3" s="1"/>
  <c r="C1547" i="3" s="1"/>
  <c r="C1552" i="3" s="1"/>
  <c r="C1557" i="3" s="1"/>
  <c r="C1559" i="3" s="1"/>
  <c r="H573" i="3"/>
  <c r="C1566" i="3" l="1"/>
  <c r="C1573" i="3" s="1"/>
  <c r="H575" i="3"/>
  <c r="H576" i="3" s="1"/>
  <c r="H571" i="3"/>
  <c r="J571" i="3" s="1"/>
  <c r="C1578" i="3" l="1"/>
  <c r="C1582" i="3" s="1"/>
  <c r="C1608" i="3" s="1"/>
  <c r="C1635" i="3" s="1"/>
  <c r="H578" i="3"/>
  <c r="H579" i="3" s="1"/>
  <c r="H577" i="3" s="1"/>
  <c r="J577" i="3" s="1"/>
  <c r="H581" i="3"/>
  <c r="H582" i="3" s="1"/>
  <c r="H580" i="3" s="1"/>
  <c r="H574" i="3"/>
  <c r="J574" i="3" s="1"/>
  <c r="J580" i="3" l="1"/>
  <c r="J415" i="3" s="1"/>
  <c r="J103" i="3" s="1"/>
  <c r="H586" i="3"/>
  <c r="J64" i="3" l="1"/>
  <c r="J58" i="3"/>
  <c r="J598" i="3"/>
  <c r="J588" i="3" s="1"/>
  <c r="J67" i="3" l="1"/>
  <c r="H600" i="3"/>
  <c r="J600" i="3" s="1"/>
  <c r="H621" i="3" l="1"/>
  <c r="J621" i="3" s="1"/>
  <c r="J599" i="3" s="1"/>
  <c r="J68" i="3" l="1"/>
  <c r="J835" i="3"/>
  <c r="H843" i="3" l="1"/>
  <c r="J843" i="3" s="1"/>
  <c r="H859" i="3" l="1"/>
  <c r="J859" i="3" s="1"/>
  <c r="H860" i="3" l="1"/>
  <c r="J860" i="3" s="1"/>
  <c r="J871" i="3" l="1"/>
  <c r="H872" i="3" s="1"/>
  <c r="J872" i="3" l="1"/>
  <c r="J877" i="3" l="1"/>
  <c r="H902" i="3" s="1"/>
  <c r="J902" i="3" s="1"/>
  <c r="J820" i="3" s="1"/>
  <c r="J70" i="3" l="1"/>
  <c r="H1056" i="3"/>
  <c r="J1056" i="3" s="1"/>
  <c r="H907" i="3" l="1"/>
  <c r="J907" i="3" s="1"/>
  <c r="H908" i="3"/>
  <c r="J908" i="3" s="1"/>
  <c r="J903" i="3" l="1"/>
  <c r="J71" i="3" l="1"/>
  <c r="J1304" i="3"/>
  <c r="J74" i="3" l="1"/>
  <c r="J1442" i="3"/>
  <c r="J77" i="3" l="1"/>
  <c r="J587" i="3"/>
  <c r="J102" i="3" l="1"/>
  <c r="J1648" i="3" s="1"/>
  <c r="J66" i="3"/>
  <c r="J28" i="3" l="1"/>
  <c r="J57" i="3"/>
  <c r="J1649" i="3" s="1"/>
  <c r="J1650" i="3" l="1"/>
  <c r="AG53" i="1"/>
  <c r="F31" i="3"/>
  <c r="J31" i="3" s="1"/>
  <c r="J37" i="3" s="1"/>
  <c r="AN53" i="1" s="1"/>
  <c r="J60" i="14" l="1"/>
  <c r="J82" i="14"/>
  <c r="J81" i="14" s="1"/>
  <c r="J58" i="14" s="1"/>
  <c r="J59" i="14" l="1"/>
  <c r="J80" i="14" l="1"/>
  <c r="J143" i="14" s="1"/>
  <c r="AI79" i="1" s="1"/>
  <c r="J28" i="14" l="1"/>
  <c r="J57" i="14"/>
  <c r="J144" i="14" s="1"/>
  <c r="AG58" i="1" l="1"/>
  <c r="AG52" i="1" s="1"/>
  <c r="AI80" i="1" s="1"/>
  <c r="AI81" i="1" s="1"/>
  <c r="F31" i="14"/>
  <c r="J31" i="14" s="1"/>
  <c r="J37" i="14" s="1"/>
  <c r="AN58" i="1" s="1"/>
  <c r="J145" i="14"/>
  <c r="AN52" i="1" l="1"/>
  <c r="AI83" i="1"/>
  <c r="AK24" i="1"/>
  <c r="AI82" i="1" s="1"/>
  <c r="W27" i="1" l="1"/>
  <c r="AK27" i="1" s="1"/>
  <c r="AK33" i="1" s="1"/>
</calcChain>
</file>

<file path=xl/sharedStrings.xml><?xml version="1.0" encoding="utf-8"?>
<sst xmlns="http://schemas.openxmlformats.org/spreadsheetml/2006/main" count="11567" uniqueCount="2608">
  <si>
    <t>Export VZ</t>
  </si>
  <si>
    <t>List obsahuje:</t>
  </si>
  <si>
    <t/>
  </si>
  <si>
    <t>REKAPITULACE STAVBY</t>
  </si>
  <si>
    <t>Kód:</t>
  </si>
  <si>
    <t>Stavba:</t>
  </si>
  <si>
    <t>KSO:</t>
  </si>
  <si>
    <t>812 69 1</t>
  </si>
  <si>
    <t>CC-CZ:</t>
  </si>
  <si>
    <t>1</t>
  </si>
  <si>
    <t>Místo:</t>
  </si>
  <si>
    <t>Datum:</t>
  </si>
  <si>
    <t>Zadavatel:</t>
  </si>
  <si>
    <t>IČ:</t>
  </si>
  <si>
    <t>DIČ:</t>
  </si>
  <si>
    <t>Uchazeč:</t>
  </si>
  <si>
    <t xml:space="preserve"> </t>
  </si>
  <si>
    <t>Projektant: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</si>
  <si>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</si>
  <si>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</si>
  <si>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</si>
  <si>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</si>
  <si>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</si>
  <si>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</si>
  <si>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</si>
  <si>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</si>
  <si>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</si>
  <si>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</si>
  <si>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</si>
  <si>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</si>
  <si>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</si>
  <si>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</si>
  <si>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</si>
  <si>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Kód</t>
  </si>
  <si>
    <t>Objekt, Soupis prací</t>
  </si>
  <si>
    <t>Cena bez DPH [CZK]</t>
  </si>
  <si>
    <t>Cena s DPH [CZK]</t>
  </si>
  <si>
    <t>Typ</t>
  </si>
  <si>
    <t>Náklady stavby celkem</t>
  </si>
  <si>
    <t>D</t>
  </si>
  <si>
    <t>SO 01</t>
  </si>
  <si>
    <t>STA</t>
  </si>
  <si>
    <t>2</t>
  </si>
  <si>
    <t>SO 02</t>
  </si>
  <si>
    <t>SO 03</t>
  </si>
  <si>
    <t>Zpět na list:</t>
  </si>
  <si>
    <t>KRYCÍ LIST SOUPISU</t>
  </si>
  <si>
    <t>Objekt:</t>
  </si>
  <si>
    <t>REKAPITULACE ČLENĚNÍ SOUPISU PRACÍ</t>
  </si>
  <si>
    <t>Kód dílu - Popis</t>
  </si>
  <si>
    <t>Cena celkem [CZK]</t>
  </si>
  <si>
    <t>Náklady soupisu celkem</t>
  </si>
  <si>
    <t>HSV - Práce a dodávky HSV</t>
  </si>
  <si>
    <t xml:space="preserve">    3 - Venkovní objekty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</si>
  <si>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</si>
  <si>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</si>
  <si>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</si>
  <si>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</si>
  <si>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</si>
  <si>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</si>
  <si>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</si>
  <si>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</si>
  <si>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HSV</t>
  </si>
  <si>
    <t>Práce a dodávky HSV</t>
  </si>
  <si>
    <t>3</t>
  </si>
  <si>
    <t>K</t>
  </si>
  <si>
    <t>soub</t>
  </si>
  <si>
    <t>4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</si>
  <si>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</si>
  <si>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</si>
  <si>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</si>
  <si>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</si>
  <si>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</si>
  <si>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</si>
  <si>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</si>
  <si>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</si>
  <si>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</si>
  <si>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</si>
  <si>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722 - Zdravotně technická instalace</t>
  </si>
  <si>
    <t xml:space="preserve">    735 - Vytápění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</si>
  <si>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</si>
  <si>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</si>
  <si>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</si>
  <si>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</si>
  <si>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</si>
  <si>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</si>
  <si>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</si>
  <si>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</si>
  <si>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</si>
  <si>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</si>
  <si>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OST - Ostatní</t>
  </si>
  <si>
    <t>Zemní práce</t>
  </si>
  <si>
    <t>131301101</t>
  </si>
  <si>
    <t>Hloubení jam nezapažených v hornině tř. 4 objemu do 100 m3</t>
  </si>
  <si>
    <t>m3</t>
  </si>
  <si>
    <t>VV</t>
  </si>
  <si>
    <t>Součet</t>
  </si>
  <si>
    <t>132301202</t>
  </si>
  <si>
    <t>Hloubení rýh š do 2000 mm v hornině tř. 4 objemu do 1000 m3</t>
  </si>
  <si>
    <t>5</t>
  </si>
  <si>
    <t>6</t>
  </si>
  <si>
    <t>t</t>
  </si>
  <si>
    <t>9</t>
  </si>
  <si>
    <t>181951102</t>
  </si>
  <si>
    <t>Úprava pláně v hornině tř. 1 až 4 se zhutněním</t>
  </si>
  <si>
    <t>m2</t>
  </si>
  <si>
    <t>Zakládání</t>
  </si>
  <si>
    <t>273321611</t>
  </si>
  <si>
    <t>274313711</t>
  </si>
  <si>
    <t>274351215</t>
  </si>
  <si>
    <t>Zřízení bednění stěn základových pasů</t>
  </si>
  <si>
    <t>274351216</t>
  </si>
  <si>
    <t>Odstranění bednění stěn základových pasů</t>
  </si>
  <si>
    <t>278353152</t>
  </si>
  <si>
    <t>Bednění prostupů v základech průřezu do 0,25 m2 hl 2 m</t>
  </si>
  <si>
    <t>kus</t>
  </si>
  <si>
    <t>Svislé a kompletní konstrukce</t>
  </si>
  <si>
    <t>311351105</t>
  </si>
  <si>
    <t>Zřízení oboustranného bednění zdí nosných</t>
  </si>
  <si>
    <t>311351106</t>
  </si>
  <si>
    <t>Odstranění oboustranného bednění zdí nosných</t>
  </si>
  <si>
    <t>317941123</t>
  </si>
  <si>
    <t>Osazování ocelových válcovaných nosníků na zdivu I, IE, U, UE nebo L do č 22</t>
  </si>
  <si>
    <t>M</t>
  </si>
  <si>
    <t>346244811</t>
  </si>
  <si>
    <t>346245999</t>
  </si>
  <si>
    <t>Vodorovné konstrukce</t>
  </si>
  <si>
    <t>413351107</t>
  </si>
  <si>
    <t>Zřízení bednění nosníků bez podpěrné konstrukce</t>
  </si>
  <si>
    <t>413351108</t>
  </si>
  <si>
    <t>Odstranění bednění nosníků bez podpěrné konstrukce</t>
  </si>
  <si>
    <t>413351215</t>
  </si>
  <si>
    <t>Zřízení podpěrné konstrukce nosníků v do 4 m pro zatížení do 20 kPa</t>
  </si>
  <si>
    <t>413351216</t>
  </si>
  <si>
    <t>Odstranění podpěrné konstrukce nosníků v do 4 m pro zatížení do 20 kPa</t>
  </si>
  <si>
    <t>413351235</t>
  </si>
  <si>
    <t>413351236</t>
  </si>
  <si>
    <t>417351115</t>
  </si>
  <si>
    <t>Zřízení bednění ztužujících věnců</t>
  </si>
  <si>
    <t>417351116</t>
  </si>
  <si>
    <t>Odstranění bednění ztužujících věnců</t>
  </si>
  <si>
    <t>417361821</t>
  </si>
  <si>
    <t>Výztuž ztužujících pásů a věnců betonářskou ocelí 10 505</t>
  </si>
  <si>
    <t>Úpravy povrchů, podlahy a osazování výplní</t>
  </si>
  <si>
    <t>612131102</t>
  </si>
  <si>
    <t>Cementový postřik vnitřních stěn nanášený síťovitě ručně</t>
  </si>
  <si>
    <t>Vápenocementová omítka hladká jednovrstvá vnitřních stěn nanášená ručně</t>
  </si>
  <si>
    <t>612321141</t>
  </si>
  <si>
    <t>Vápenocementová omítka štuková dvouvrstvá vnitřních stěn nanášená ručně</t>
  </si>
  <si>
    <t>619991011</t>
  </si>
  <si>
    <t>Obalení konstrukcí a prvků fólií přilepenou lepící páskou</t>
  </si>
  <si>
    <t>622131101</t>
  </si>
  <si>
    <t>Cementový postřik vnějších stěn nanášený celoplošně ručně</t>
  </si>
  <si>
    <t>622143003</t>
  </si>
  <si>
    <t>Montáž omítkových plastových nebo pozinkovaných rohových profilů s tkaninou</t>
  </si>
  <si>
    <t>m</t>
  </si>
  <si>
    <t>590514820</t>
  </si>
  <si>
    <t>lišta rohová Al ,10/15 cm s tkaninou bal. 2,5 m</t>
  </si>
  <si>
    <t>622143004</t>
  </si>
  <si>
    <t>590514750</t>
  </si>
  <si>
    <t>622211011</t>
  </si>
  <si>
    <t>Montáž kontaktního zateplení vnějších stěn z polystyrénových desek tl do 80 mm</t>
  </si>
  <si>
    <t>622252002</t>
  </si>
  <si>
    <t>590515120</t>
  </si>
  <si>
    <t>631311123</t>
  </si>
  <si>
    <t>631311135</t>
  </si>
  <si>
    <t>Mazanina tl do 240 mm z betonu prostého bez zvýšených nároků na prostředí tř. C 20/25</t>
  </si>
  <si>
    <t>631319175</t>
  </si>
  <si>
    <t>Příplatek k mazanině tl do 240 mm za stržení povrchu spodní vrstvy před vložením výztuže</t>
  </si>
  <si>
    <t>631351101</t>
  </si>
  <si>
    <t>Zřízení bednění  hran</t>
  </si>
  <si>
    <t>631351102</t>
  </si>
  <si>
    <t>Odstranění bednění rýh a hran v podlahách</t>
  </si>
  <si>
    <t>631362021</t>
  </si>
  <si>
    <t>Výztuž mazanin svařovanými sítěmi Kari</t>
  </si>
  <si>
    <t>632450133</t>
  </si>
  <si>
    <t>Vyrovnávací cementový potěr tl do 40 mm ze suchých směsí provedený v ploše</t>
  </si>
  <si>
    <t>634111116</t>
  </si>
  <si>
    <t>Obvodová dilatace pružnou těsnicí páskou v 150 mm mezi stěnou a mazaninou</t>
  </si>
  <si>
    <t>63466111R</t>
  </si>
  <si>
    <t>Výplň dilatačních spar šířky do 5 mm v mazaninách silikonovým tmelem - rozsah dle výrobní dokumentace dodavatele</t>
  </si>
  <si>
    <t>kpl</t>
  </si>
  <si>
    <t>642944121</t>
  </si>
  <si>
    <t>Osazování ocelových zárubní dodatečné pl do 2,5 m2</t>
  </si>
  <si>
    <t>553311580</t>
  </si>
  <si>
    <t>Ostatní konstrukce a práce, bourání</t>
  </si>
  <si>
    <t>941221111</t>
  </si>
  <si>
    <t>Montáž lešení řadového rámového těžkého zatížení do 300 kg/m2 š do 1,2 m v do 10 m</t>
  </si>
  <si>
    <t>941221211</t>
  </si>
  <si>
    <t>Příplatek k lešení řadovému rámovému těžkému š 1,2 m v do 25 m za první a ZKD den použití</t>
  </si>
  <si>
    <t>941221811</t>
  </si>
  <si>
    <t>Demontáž lešení řadového rámového těžkého zatížení do 300 kg/m2 š do 1,2 m v do 10 m</t>
  </si>
  <si>
    <t>949101111</t>
  </si>
  <si>
    <t>Lešení pomocné pro objekty pozemních staveb s lešeňovou podlahou v do 1,9 m zatížení do 150 kg/m2</t>
  </si>
  <si>
    <t>949101112</t>
  </si>
  <si>
    <t>Lešení pomocné pro objekty pozemních staveb s lešeňovou podlahou v do 3,5 m zatížení do 150 kg/m2</t>
  </si>
  <si>
    <t>952901111</t>
  </si>
  <si>
    <t>Vyčištění budov bytové a občanské výstavby při výšce podlaží do 4 m</t>
  </si>
  <si>
    <t>952901114</t>
  </si>
  <si>
    <t>Vyčištění budov bytové a občanské výstavby při výšce podlaží přes 4 m</t>
  </si>
  <si>
    <t>95394212R</t>
  </si>
  <si>
    <t xml:space="preserve">Dodávka + montáž ochranných úhelníků rohů - typový </t>
  </si>
  <si>
    <t>998</t>
  </si>
  <si>
    <t>Přesun hmot</t>
  </si>
  <si>
    <t>998011002</t>
  </si>
  <si>
    <t>Přesun hmot pro budovy zděné v do 12 m</t>
  </si>
  <si>
    <t>PSV</t>
  </si>
  <si>
    <t>Práce a dodávky PSV</t>
  </si>
  <si>
    <t>711</t>
  </si>
  <si>
    <t>Izolace proti vodě, vlhkosti a plynům</t>
  </si>
  <si>
    <t>Dodávka + montáž hydroizolační stěrky včetně rohových bandáží</t>
  </si>
  <si>
    <t>713</t>
  </si>
  <si>
    <t>Izolace tepelné</t>
  </si>
  <si>
    <t>722</t>
  </si>
  <si>
    <t>735</t>
  </si>
  <si>
    <t>749</t>
  </si>
  <si>
    <t>751</t>
  </si>
  <si>
    <t>762</t>
  </si>
  <si>
    <t>Konstrukce tesařské</t>
  </si>
  <si>
    <t>762083122</t>
  </si>
  <si>
    <t>Impregnace řeziva proti dřevokaznému hmyzu, houbám a plísním máčením třída ohrožení 3 a 4</t>
  </si>
  <si>
    <t>762341210</t>
  </si>
  <si>
    <t>Montáž bednění střech rovných a šikmých sklonu do 60° z hrubých prken na sraz</t>
  </si>
  <si>
    <t>605111200</t>
  </si>
  <si>
    <t>762395000</t>
  </si>
  <si>
    <t>Spojovací prostředky pro montáž krovu, bednění, laťování, světlíky, klíny</t>
  </si>
  <si>
    <t>7624290R</t>
  </si>
  <si>
    <t>Dodávka + montáž  podkladový rošt pro podbití</t>
  </si>
  <si>
    <t>762430025</t>
  </si>
  <si>
    <t>611911570</t>
  </si>
  <si>
    <t>762895000</t>
  </si>
  <si>
    <t>Spojovací prostředky pro montáž záklopu, stropnice a podbíjení</t>
  </si>
  <si>
    <t>998762102</t>
  </si>
  <si>
    <t>763</t>
  </si>
  <si>
    <t>Konstrukce suché výstavby</t>
  </si>
  <si>
    <t>763131432</t>
  </si>
  <si>
    <t>763131714</t>
  </si>
  <si>
    <t>SDK podhled základní penetrační nátěr</t>
  </si>
  <si>
    <t>763131751</t>
  </si>
  <si>
    <t>Montáž parotěsné zábrany do SDK podhledu</t>
  </si>
  <si>
    <t>283292760</t>
  </si>
  <si>
    <t>763131752</t>
  </si>
  <si>
    <t>Montáž jedné vrstvy tepelné izolace do SDK podhledu</t>
  </si>
  <si>
    <t>763131761</t>
  </si>
  <si>
    <t>763734113</t>
  </si>
  <si>
    <t>605121350</t>
  </si>
  <si>
    <t>998763101</t>
  </si>
  <si>
    <t>998763302</t>
  </si>
  <si>
    <t>764</t>
  </si>
  <si>
    <t>Konstrukce klempířské</t>
  </si>
  <si>
    <t>764042418</t>
  </si>
  <si>
    <t>764111641</t>
  </si>
  <si>
    <t>764211631</t>
  </si>
  <si>
    <t>764212634</t>
  </si>
  <si>
    <t>764213456</t>
  </si>
  <si>
    <t>764216643</t>
  </si>
  <si>
    <t>998764102</t>
  </si>
  <si>
    <t>766</t>
  </si>
  <si>
    <t>Konstrukce truhlářské</t>
  </si>
  <si>
    <t>998766202</t>
  </si>
  <si>
    <t>Přesun hmot procentní pro konstrukce truhlářské v objektech v do 12 m</t>
  </si>
  <si>
    <t>%</t>
  </si>
  <si>
    <t>767</t>
  </si>
  <si>
    <t>Konstrukce zámečnické</t>
  </si>
  <si>
    <t>7676511R5</t>
  </si>
  <si>
    <t>ks</t>
  </si>
  <si>
    <t>998767202</t>
  </si>
  <si>
    <t>Přesun hmot procentní pro zámečnické konstrukce v objektech v do 12 m</t>
  </si>
  <si>
    <t>771</t>
  </si>
  <si>
    <t>Podlahy z dlaždic</t>
  </si>
  <si>
    <t>771474115</t>
  </si>
  <si>
    <t>597614310</t>
  </si>
  <si>
    <t>771574116</t>
  </si>
  <si>
    <t>771591111</t>
  </si>
  <si>
    <t>Podlahy penetrace podkladu</t>
  </si>
  <si>
    <t>781</t>
  </si>
  <si>
    <t>Dokončovací práce - obklady</t>
  </si>
  <si>
    <t>781474114</t>
  </si>
  <si>
    <t>Montáž obkladů vnitřních keramických hladkých do 22 ks/m2 lepených flexibilním lepidlem</t>
  </si>
  <si>
    <t>597610280</t>
  </si>
  <si>
    <t>781479191</t>
  </si>
  <si>
    <t>781495111</t>
  </si>
  <si>
    <t>Penetrace podkladu vnitřních obkladů</t>
  </si>
  <si>
    <t>783</t>
  </si>
  <si>
    <t>Dokončovací práce - nátěry</t>
  </si>
  <si>
    <t>783213121</t>
  </si>
  <si>
    <t>783218101</t>
  </si>
  <si>
    <t>783801403</t>
  </si>
  <si>
    <t>Oprášení omítek před provedením nátěru</t>
  </si>
  <si>
    <t>783823133</t>
  </si>
  <si>
    <t>Penetrační silikátový nátěr hladkých, tenkovrstvých zrnitých nebo štukových omítek</t>
  </si>
  <si>
    <t>783827423</t>
  </si>
  <si>
    <t>Krycí dvojnásobný silikátový nátěr omítek stupně členitosti 1 a 2</t>
  </si>
  <si>
    <t>783827429</t>
  </si>
  <si>
    <t>784</t>
  </si>
  <si>
    <t>Dokončovací práce - malby a tapety</t>
  </si>
  <si>
    <t>784181113</t>
  </si>
  <si>
    <t>784211103</t>
  </si>
  <si>
    <t>Dvojnásobné bílé malby ze směsí za mokra výborně otěruvzdorných v místnostech výšky do 5,00 m</t>
  </si>
  <si>
    <t>OST</t>
  </si>
  <si>
    <t>Ostatní</t>
  </si>
  <si>
    <t>O-1-1</t>
  </si>
  <si>
    <t>Zařízení staveniště</t>
  </si>
  <si>
    <t xml:space="preserve">    5 - Komunikace pozemní</t>
  </si>
  <si>
    <t>Komunikace pozemní</t>
  </si>
  <si>
    <t>1) Rekapitulace stavby</t>
  </si>
  <si>
    <t>2) Rekapitulace objektů stavby a soupisů prací</t>
  </si>
  <si>
    <t>/</t>
  </si>
  <si>
    <t>1) Krycí list soupisu</t>
  </si>
  <si>
    <t>2) Rekapitulace</t>
  </si>
  <si>
    <t>3) Soupis prací</t>
  </si>
  <si>
    <t>Rekapitulace stavby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</si>
  <si>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</si>
  <si>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</si>
  <si>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</si>
  <si>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</si>
  <si>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family val="2"/>
        <charset val="238"/>
      </rPr>
      <t xml:space="preserve">Rekapitulace stavby </t>
    </r>
    <r>
      <rPr>
        <sz val="9"/>
        <rFont val="Trebuchet MS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</si>
  <si>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family val="2"/>
        <charset val="238"/>
      </rPr>
      <t>Rekapitulace stavby</t>
    </r>
    <r>
      <rPr>
        <sz val="9"/>
        <rFont val="Trebuchet MS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</si>
  <si>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</si>
  <si>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family val="2"/>
        <charset val="238"/>
      </rPr>
      <t>Rekapitulace objektů stavby a soupisů prací</t>
    </r>
    <r>
      <rPr>
        <sz val="9"/>
        <rFont val="Trebuchet MS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</si>
  <si>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</si>
  <si>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</si>
  <si>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</si>
  <si>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</si>
  <si>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</si>
  <si>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</si>
  <si>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</si>
  <si>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</si>
  <si>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</si>
  <si>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</si>
  <si>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</si>
  <si>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</si>
  <si>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</si>
  <si>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family val="2"/>
        <charset val="238"/>
      </rPr>
      <t>Krycí list soupisu</t>
    </r>
    <r>
      <rPr>
        <sz val="9"/>
        <rFont val="Trebuchet MS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</si>
  <si>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</si>
  <si>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family val="2"/>
        <charset val="238"/>
      </rPr>
      <t>Rekapitulace členění soupisu prací</t>
    </r>
    <r>
      <rPr>
        <sz val="9"/>
        <rFont val="Trebuchet MS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</si>
  <si>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</si>
  <si>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</si>
  <si>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</si>
  <si>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</si>
  <si>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</si>
  <si>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</si>
  <si>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</si>
  <si>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</si>
  <si>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</si>
  <si>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</si>
  <si>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</si>
  <si>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</si>
  <si>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</si>
  <si>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</si>
  <si>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</si>
  <si>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</si>
  <si>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</si>
  <si>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</si>
  <si>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</si>
  <si>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</si>
  <si>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</si>
  <si>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</si>
  <si>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</si>
  <si>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</si>
  <si>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</si>
  <si>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</si>
  <si>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</si>
  <si>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</si>
  <si>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</si>
  <si>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</si>
  <si>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</si>
  <si>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</si>
  <si>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</si>
  <si>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</si>
  <si>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</si>
  <si>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</si>
  <si>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</si>
  <si>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</si>
  <si>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</si>
  <si>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</si>
  <si>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</si>
  <si>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</si>
  <si>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</si>
  <si>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</si>
  <si>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</si>
  <si>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</si>
  <si>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</si>
  <si>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</si>
  <si>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</si>
  <si>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</si>
  <si>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</si>
  <si>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</si>
  <si>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</si>
  <si>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</si>
  <si>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</si>
  <si>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</si>
  <si>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</si>
  <si>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</si>
  <si>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</si>
  <si>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</si>
  <si>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</si>
  <si>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</si>
  <si>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</si>
  <si>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</si>
  <si>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</si>
  <si>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</si>
  <si>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</si>
  <si>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</si>
  <si>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</si>
  <si>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</si>
  <si>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</si>
  <si>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</si>
  <si>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</si>
  <si>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</si>
  <si>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</si>
  <si>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</si>
  <si>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</si>
  <si>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</si>
  <si>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</si>
  <si>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</si>
  <si>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</si>
  <si>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</si>
  <si>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</si>
  <si>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</si>
  <si>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</si>
  <si>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</si>
  <si>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</si>
  <si>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</si>
  <si>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</si>
  <si>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</si>
  <si>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</si>
  <si>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</si>
  <si>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</si>
  <si>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</si>
  <si>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</si>
  <si>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</si>
  <si>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</si>
  <si>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</si>
  <si>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</si>
  <si>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</si>
  <si>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</si>
  <si>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</si>
  <si>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</si>
  <si>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</si>
  <si>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</si>
  <si>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</si>
  <si>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</si>
  <si>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</si>
  <si>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</si>
  <si>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</si>
  <si>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</si>
  <si>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</si>
  <si>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</si>
  <si>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</si>
  <si>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</si>
  <si>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</si>
  <si>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</si>
  <si>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</si>
  <si>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</si>
  <si>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</si>
  <si>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</si>
  <si>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</si>
  <si>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</si>
  <si>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</si>
  <si>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</si>
  <si>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</si>
  <si>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</si>
  <si>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</si>
  <si>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</si>
  <si>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</si>
  <si>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</si>
  <si>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</si>
  <si>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</si>
  <si>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</si>
  <si>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</si>
  <si>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</si>
  <si>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</si>
  <si>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</si>
  <si>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</si>
  <si>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</si>
  <si>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</si>
  <si>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</si>
  <si>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</si>
  <si>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</si>
  <si>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</si>
  <si>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</si>
  <si>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</si>
  <si>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</si>
  <si>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</si>
  <si>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</si>
  <si>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</si>
  <si>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</si>
  <si>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</si>
  <si>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</si>
  <si>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</si>
  <si>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</si>
  <si>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</si>
  <si>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120 45 357</t>
  </si>
  <si>
    <t>von-1</t>
  </si>
  <si>
    <t>von-2</t>
  </si>
  <si>
    <t>von-3</t>
  </si>
  <si>
    <t>von-4</t>
  </si>
  <si>
    <t>von-5</t>
  </si>
  <si>
    <t>- zajištění místnosti pro TDI v ZS vč. jejího vybavení</t>
  </si>
  <si>
    <t>- zajištění ohlášení všech staveb zařízení staveniště dle §104 odst. (2) zákona č. 183/2006 Sb.</t>
  </si>
  <si>
    <t>- zajištění oplocení prostoru ZS, jeho napojení na inž. sítě</t>
  </si>
  <si>
    <t>- zajištění následné likvidace všech objektů ZS včetně připojení na sítě</t>
  </si>
  <si>
    <t>- zajištění zřízení a odstranění dočasných komunikací, sjezdů a nájezdů pro realizaci stavby</t>
  </si>
  <si>
    <t>- zajištění ostrahy stavby a staveniště po dobu realizace stavby</t>
  </si>
  <si>
    <t>- zajištění podmínek pro použití přístupových komunikací dotčených stavbou s příslušnými vlastníky či správci a zajištění jejich splnění</t>
  </si>
  <si>
    <t>- zřízení čisticích zón před výjezdem z obvodu staveniště</t>
  </si>
  <si>
    <t>- provedení takových opatření, aby plochy obvodu staveniště nebyly znečištěny ropnými látkami a jinými podobnými produkty</t>
  </si>
  <si>
    <t>- provedení takových opatření, aby nebyly překročeny limity prašnosti a hlučnosti dané obecně závaznou vyhláškou</t>
  </si>
  <si>
    <t>- zajištění péče o nepředané objekty a konstrukce stavby, jejich ošetřování a zimní opatření</t>
  </si>
  <si>
    <t>- zajištění ochrany veškeré zeleně v prostoru staveniště a v jeho bezprostřední blízkosti pro poškození během realizace stavby</t>
  </si>
  <si>
    <t>položka obsahuje zejména:</t>
  </si>
  <si>
    <t>- zhotovitelem vypracovaný Plán opatření pro případ havárie, pro případ úniku závadných látek (např.ropné produkty, cementové výluhy, odpadní vody z těsnících clon, atd.)</t>
  </si>
  <si>
    <t>- vypracování projektu skutečného provedení díla</t>
  </si>
  <si>
    <t>- geometrických plánů pro účely majetkoprávního vypořádání s majiteli dotčených pozemků</t>
  </si>
  <si>
    <t>- geometrických plánů pro zřízení věcných břemen</t>
  </si>
  <si>
    <t>- zajištění odsouhlasení geometrických plánů příslušným katastrálním úřadem</t>
  </si>
  <si>
    <t>- vypracování geodetického zaměření skutečného stavu</t>
  </si>
  <si>
    <t>Geodetické práce a vytýčení</t>
  </si>
  <si>
    <t>- zajištění veškerých geodetických prací souvisejících s realizací díla</t>
  </si>
  <si>
    <t>- zajištění vytýčení veškerých podzemních zařízení</t>
  </si>
  <si>
    <t>- zajištění šetření o podzemních sítích vč. zajištění nových vyjádření v případě, že před realizací pozbyly platnosti</t>
  </si>
  <si>
    <t>Zajištění kontrolního a zkušebního plánu stavby</t>
  </si>
  <si>
    <t>hod</t>
  </si>
  <si>
    <t>Přechodka Cu – závit 28x1,5</t>
  </si>
  <si>
    <t>KIT připoj.tělesa (TRV, RŠ, TH, svěr. šroubení) 1/2xEK-15x1PŘÍMÝ</t>
  </si>
  <si>
    <t>sada popisných štítků</t>
  </si>
  <si>
    <t>výstražný štítek</t>
  </si>
  <si>
    <t>přípojnice N</t>
  </si>
  <si>
    <t>přípojnice PE</t>
  </si>
  <si>
    <t>držák N + PE přípojnice</t>
  </si>
  <si>
    <t>záslepné kryty</t>
  </si>
  <si>
    <t>materiál drobný</t>
  </si>
  <si>
    <t>kompletace rozváděče</t>
  </si>
  <si>
    <t>propojovací lišta jističů 16 mm2</t>
  </si>
  <si>
    <t>kabel CYKY-J 5x 4 mm2</t>
  </si>
  <si>
    <t>kabel CYKY-J 5x 2,5 mm2</t>
  </si>
  <si>
    <t>kabel CYKY-J 3x 2,5 mm2</t>
  </si>
  <si>
    <t>kabel CYKY-J 3x 1,5 mm2</t>
  </si>
  <si>
    <t>kabel CYKY-O 3x 1,5 mm2</t>
  </si>
  <si>
    <t>vodič CY 16 zelenožlutý</t>
  </si>
  <si>
    <t>vodič CY 6 zelenožlutý</t>
  </si>
  <si>
    <t>přípojnice HOP</t>
  </si>
  <si>
    <t>zásuvka pod omítku jednoduchá, 250 V/16A</t>
  </si>
  <si>
    <t>zásuvka pod omítku dvojitá, 250 V/16A</t>
  </si>
  <si>
    <t>krabice přístrojová pod omítku KU 68</t>
  </si>
  <si>
    <t>krabice odbočná pod omítku KR 68</t>
  </si>
  <si>
    <t>krabice odbočná pod omítku KR 97</t>
  </si>
  <si>
    <t>drátěný zinkovaný elektroinstalační žlab 150/50</t>
  </si>
  <si>
    <t>výložník 190 mm zinkovaný pro drátěný žlab</t>
  </si>
  <si>
    <t>spojka žlabu</t>
  </si>
  <si>
    <t>svorka pro uzemnění žlabu</t>
  </si>
  <si>
    <t>trubka elektroinstalační plastová tuhá 25 mm včetně tvarovek a příchytek</t>
  </si>
  <si>
    <t>trubka elektroinstalační plastová tuhá 40 mm včetně tvarovek a příchytek</t>
  </si>
  <si>
    <t>ukončení vodiče do 6 mm2</t>
  </si>
  <si>
    <t>ukončení vodiče do 16 mm2</t>
  </si>
  <si>
    <t>pomocné práce</t>
  </si>
  <si>
    <t>průraz zdivem se začištěním do tloušťky stěny 300 mm</t>
  </si>
  <si>
    <t>průraz stropem se začištěním</t>
  </si>
  <si>
    <t>Příplatek za dvojnásobný nátěr omítek stupeň členitosti 1 a 2 - biocidní přísada</t>
  </si>
  <si>
    <t>POZOR!</t>
  </si>
  <si>
    <t>Dno šachet z betonu C20/25 tl. 200 mm</t>
  </si>
  <si>
    <t>Výkop jam, rýh a šachet v hornině tř. 3</t>
  </si>
  <si>
    <t>Obsyp potrubí štěrkopískem</t>
  </si>
  <si>
    <t>Hrubá výplň ve stěnách do 100x150 mm maltou ze SMS</t>
  </si>
  <si>
    <t>Vysekání rýh ve zdi cihelné 100x150 mm, vnitřní kanalizace</t>
  </si>
  <si>
    <t>Vysekání rýh ve zdi cihelné 50x70 mm, vnitřní vodovod</t>
  </si>
  <si>
    <t>Vnitrostaveništní doprava suti do 10 m</t>
  </si>
  <si>
    <t>Příplatek k vnitrostaveništní dopravě suti zkd 5 m</t>
  </si>
  <si>
    <t>Odvoz suti a vybouraných hmot na skládku do 1 km</t>
  </si>
  <si>
    <t>Příplatek k odvozu na skládku zkd 1 km</t>
  </si>
  <si>
    <t>Poplatek za skládku suti - směs stavební suti a zeminy</t>
  </si>
  <si>
    <t>Chránička prostupu zdí do DN 40 do dl. 450 mm</t>
  </si>
  <si>
    <t xml:space="preserve">    749 - Elektromontáže</t>
  </si>
  <si>
    <t>Potrubí ocelové trubky bezešvé spojované svařováním DN32</t>
  </si>
  <si>
    <t>Nátěr potrubí ocelového do DN40 (základní+2násobný)</t>
  </si>
  <si>
    <t>132201101</t>
  </si>
  <si>
    <t>Hloubení rýh šířky do 60 cm v hornině tř. 4 objemu do 100 m3</t>
  </si>
  <si>
    <t>139601103</t>
  </si>
  <si>
    <t>Ruční výkop jam, rýh a šachet v hornině tř. 4</t>
  </si>
  <si>
    <t>Zásyp ruční se zhutněním po vrstvách a´ 200 mm</t>
  </si>
  <si>
    <t>174101102</t>
  </si>
  <si>
    <t>Obsyp potrubí s dodáním štěrkopísku fr. 0-22 mm</t>
  </si>
  <si>
    <t>175101101</t>
  </si>
  <si>
    <t>162201101</t>
  </si>
  <si>
    <t>Vodorovné přemístění výkopku z hornin tř. 1-4 do 20 m</t>
  </si>
  <si>
    <t>16710101</t>
  </si>
  <si>
    <t>162701105</t>
  </si>
  <si>
    <t>Vodorovné přemístění výkopku z hornin tř. 1-4 do 10000 m</t>
  </si>
  <si>
    <t>171201201</t>
  </si>
  <si>
    <t>Uložení sypaniny na skládku</t>
  </si>
  <si>
    <t>199000002</t>
  </si>
  <si>
    <t>Poplatek za skládku horniny tř. 1-4</t>
  </si>
  <si>
    <t>Nakládání výkopku z hornin tř. 1-4 v množství do 100 m3</t>
  </si>
  <si>
    <t>721241102</t>
  </si>
  <si>
    <t>721233219</t>
  </si>
  <si>
    <t>275313613</t>
  </si>
  <si>
    <t>Založení a obetonování kanalizační vpusti z betonu C 20/25</t>
  </si>
  <si>
    <t>721194105</t>
  </si>
  <si>
    <t>Napojení kanalizační vpusti k ležatému potrubí dešťové kanalizace</t>
  </si>
  <si>
    <t>871313120</t>
  </si>
  <si>
    <t>Montáž potrubí z kanalizačních trub DN 125 z PVC otevřený výkop</t>
  </si>
  <si>
    <t>999120032</t>
  </si>
  <si>
    <t>999120033</t>
  </si>
  <si>
    <t>871313129</t>
  </si>
  <si>
    <t>130901127</t>
  </si>
  <si>
    <t>Bourání konstrukcí v hloubených vykopávkách ze zdiva z betonu prostého - průrazy do pl. 0,04 m2</t>
  </si>
  <si>
    <t>Zednické zapracování a utěsnění prostupů stěn revizních šachet do pl. 0,04 m2</t>
  </si>
  <si>
    <t>279311919</t>
  </si>
  <si>
    <t>998011010</t>
  </si>
  <si>
    <t>Zkouška těsnosti potrubí z PVC KG do DN 200</t>
  </si>
  <si>
    <t>Řezání stávajícího živičného krytu hl. do 200 mm</t>
  </si>
  <si>
    <t>919735115</t>
  </si>
  <si>
    <t>181101111</t>
  </si>
  <si>
    <t>Úprava pláně v zářezech se zhutněním</t>
  </si>
  <si>
    <t>212971111</t>
  </si>
  <si>
    <t>693660130</t>
  </si>
  <si>
    <t>textilie netkaná 400 g/m2</t>
  </si>
  <si>
    <t>Montáž geotextilie s přesahy 500 mm (ve dvou vrstvách)</t>
  </si>
  <si>
    <t>592174500</t>
  </si>
  <si>
    <t>917762111</t>
  </si>
  <si>
    <t>564852111</t>
  </si>
  <si>
    <t>564859111</t>
  </si>
  <si>
    <t>573211111</t>
  </si>
  <si>
    <t>Postřik živičný infiltrační asfaltovou emulzí 0,60 kg/m2 PI-E</t>
  </si>
  <si>
    <t>573213111</t>
  </si>
  <si>
    <t>Postřik živičný spojovací asfaltovou emulzí 0,35 kg/m2 PS-E</t>
  </si>
  <si>
    <t>573214111</t>
  </si>
  <si>
    <t>Postřik živičný spojovací modifikovaným asfaltem 0,25 kg/m2 PS-PMB</t>
  </si>
  <si>
    <t>Asfaltový beton střednězrnný ACO 11S tl. 40 mm se zaválcováním</t>
  </si>
  <si>
    <t>Těsnění spár zálivkou z modifikovaného asfaltu</t>
  </si>
  <si>
    <t>577134111</t>
  </si>
  <si>
    <t>919122126</t>
  </si>
  <si>
    <t>577165111</t>
  </si>
  <si>
    <t>Poznámka projektanta:</t>
  </si>
  <si>
    <t>Montáž oken plastových plochy do 1,50 m2 vč. kompletace</t>
  </si>
  <si>
    <t>kontrolní číslo 1</t>
  </si>
  <si>
    <t>kontrolní číslo 2</t>
  </si>
  <si>
    <t>kontrolní číslo 3</t>
  </si>
  <si>
    <t>chyba</t>
  </si>
  <si>
    <t>kontrolní číslo 4</t>
  </si>
  <si>
    <t>kontrolní číslo 5</t>
  </si>
  <si>
    <t>722-1</t>
  </si>
  <si>
    <t>R</t>
  </si>
  <si>
    <t>ZTi - Stavební práce</t>
  </si>
  <si>
    <t>Zdravotně technická instalace - ZTi</t>
  </si>
  <si>
    <t>721233299</t>
  </si>
  <si>
    <t>997013501</t>
  </si>
  <si>
    <t>997013509</t>
  </si>
  <si>
    <t>997013831</t>
  </si>
  <si>
    <t>997013151</t>
  </si>
  <si>
    <t>997014151</t>
  </si>
  <si>
    <t>974031154</t>
  </si>
  <si>
    <t>974031153</t>
  </si>
  <si>
    <t>612135101</t>
  </si>
  <si>
    <t>612135201</t>
  </si>
  <si>
    <t>ZTi - Vnitřní kanalizace</t>
  </si>
  <si>
    <t>ZTi - Vnitřní vodovod</t>
  </si>
  <si>
    <t>722-3</t>
  </si>
  <si>
    <t>ZTi - Zařizovací předměty</t>
  </si>
  <si>
    <t>ZTi - Plynoinstalace</t>
  </si>
  <si>
    <t>871313128</t>
  </si>
  <si>
    <t>721-2</t>
  </si>
  <si>
    <t>723-4</t>
  </si>
  <si>
    <t>725-6</t>
  </si>
  <si>
    <t>Tlaková zkouška měděných trub do 35x1,5</t>
  </si>
  <si>
    <t>Odbočka Cu na potrubí 28x1,5</t>
  </si>
  <si>
    <t>Potrubí Cu tvrdé pájené 28x1,5</t>
  </si>
  <si>
    <t>Potrubí Cu tvrdé pájené 15x1</t>
  </si>
  <si>
    <t>Montáž armatur se 2 záv. G 1“</t>
  </si>
  <si>
    <t>Montáž armatur se 2 záv. G ½</t>
  </si>
  <si>
    <t>Vytápění - UT</t>
  </si>
  <si>
    <t>UT - Kotelny</t>
  </si>
  <si>
    <t>UT - Rozvod potrubí</t>
  </si>
  <si>
    <t>UT - Otopná tělesa</t>
  </si>
  <si>
    <t>Montáž těles deskových dvouřadých do 1140 mm</t>
  </si>
  <si>
    <t>Nespecifikované související práce v HZS</t>
  </si>
  <si>
    <t>Nespecifikované související dodávky</t>
  </si>
  <si>
    <t>749-1</t>
  </si>
  <si>
    <t>749-1.R01</t>
  </si>
  <si>
    <t>749-1.R02</t>
  </si>
  <si>
    <t>749-3.R02</t>
  </si>
  <si>
    <t>749-1.R03</t>
  </si>
  <si>
    <t>749-1.R04</t>
  </si>
  <si>
    <t>749-1.R05</t>
  </si>
  <si>
    <t>749-1.R06</t>
  </si>
  <si>
    <t>749-1.R07</t>
  </si>
  <si>
    <t>749-1.R08</t>
  </si>
  <si>
    <t>749-2</t>
  </si>
  <si>
    <t>749-2.R01</t>
  </si>
  <si>
    <t>749-2.R02</t>
  </si>
  <si>
    <t>749-2.R03</t>
  </si>
  <si>
    <t>749-2.R04</t>
  </si>
  <si>
    <t>749-2.R05</t>
  </si>
  <si>
    <t>749-2.R06</t>
  </si>
  <si>
    <t>749-2.R07</t>
  </si>
  <si>
    <t>749-2.R08</t>
  </si>
  <si>
    <t>749-2.R09</t>
  </si>
  <si>
    <t>749-2.R10</t>
  </si>
  <si>
    <t>749-2.R11</t>
  </si>
  <si>
    <t>749-2.R12</t>
  </si>
  <si>
    <t>749-2.R13</t>
  </si>
  <si>
    <t>749-2.R14</t>
  </si>
  <si>
    <t>749-2.R15</t>
  </si>
  <si>
    <t>749-2.R16</t>
  </si>
  <si>
    <t>749-2.R17</t>
  </si>
  <si>
    <t>749-2.R18</t>
  </si>
  <si>
    <t>749-3</t>
  </si>
  <si>
    <t>749-3.R01</t>
  </si>
  <si>
    <t>749-3.R03</t>
  </si>
  <si>
    <t>749-3.R04</t>
  </si>
  <si>
    <t>749-3.R05</t>
  </si>
  <si>
    <t>749-3.R06</t>
  </si>
  <si>
    <t>749-3.R07</t>
  </si>
  <si>
    <t>749-3.R08</t>
  </si>
  <si>
    <t>749-3.R09</t>
  </si>
  <si>
    <t>749-3.R10</t>
  </si>
  <si>
    <t>749-3.R11</t>
  </si>
  <si>
    <t>749-3.R12</t>
  </si>
  <si>
    <t>749-3.R13</t>
  </si>
  <si>
    <t>749-3.R14</t>
  </si>
  <si>
    <t>749-3.R15</t>
  </si>
  <si>
    <t>749-3.R16</t>
  </si>
  <si>
    <t>749-3.R17</t>
  </si>
  <si>
    <t>749-3.R18</t>
  </si>
  <si>
    <t>749-3.R19</t>
  </si>
  <si>
    <t>749-3.R20</t>
  </si>
  <si>
    <t>749-3.R21</t>
  </si>
  <si>
    <t>749-3.R22</t>
  </si>
  <si>
    <t>749-3.R23</t>
  </si>
  <si>
    <t>749-3.R24</t>
  </si>
  <si>
    <t>749-3.R25</t>
  </si>
  <si>
    <t>749-4</t>
  </si>
  <si>
    <t>749-4.R01</t>
  </si>
  <si>
    <t>749-4.R02</t>
  </si>
  <si>
    <t>749-4.R03</t>
  </si>
  <si>
    <t>749-4.R04</t>
  </si>
  <si>
    <t>749-4.R05</t>
  </si>
  <si>
    <t>749-4.R06</t>
  </si>
  <si>
    <t>749-4.R07</t>
  </si>
  <si>
    <t>749-4.R08</t>
  </si>
  <si>
    <t>749-4.R09</t>
  </si>
  <si>
    <t>749-4.R10</t>
  </si>
  <si>
    <t>749-4.R11</t>
  </si>
  <si>
    <t>749-4.R12</t>
  </si>
  <si>
    <t>749-4.R13</t>
  </si>
  <si>
    <t>749-4.R14</t>
  </si>
  <si>
    <t>749-4.R16</t>
  </si>
  <si>
    <t>749-4.R17</t>
  </si>
  <si>
    <t>749-4.R18</t>
  </si>
  <si>
    <t>749-4.R19</t>
  </si>
  <si>
    <t>749-4.R20</t>
  </si>
  <si>
    <t>749-4.R21</t>
  </si>
  <si>
    <t>749-4.R22</t>
  </si>
  <si>
    <t>749-4.R23</t>
  </si>
  <si>
    <t>749-4.R24</t>
  </si>
  <si>
    <t>749-4.R25</t>
  </si>
  <si>
    <t>749-4.R26</t>
  </si>
  <si>
    <t>749-4.R27</t>
  </si>
  <si>
    <t>749-4.R28</t>
  </si>
  <si>
    <t>749-5</t>
  </si>
  <si>
    <t>749-5.R01</t>
  </si>
  <si>
    <t>749-5.R02</t>
  </si>
  <si>
    <t>749-5.R03</t>
  </si>
  <si>
    <t>749-5.R04</t>
  </si>
  <si>
    <t>749-5.R05</t>
  </si>
  <si>
    <t>749-5.R06</t>
  </si>
  <si>
    <t>749-5.R07</t>
  </si>
  <si>
    <t>749-5.R08</t>
  </si>
  <si>
    <t>749-5.R09</t>
  </si>
  <si>
    <t>749-5.R10</t>
  </si>
  <si>
    <t>Elektromontáže - Ei</t>
  </si>
  <si>
    <t>Ei - Specifikace č. 5 - Elektromateriál</t>
  </si>
  <si>
    <t>Vzduchotechnika - VZT</t>
  </si>
  <si>
    <t>751-1</t>
  </si>
  <si>
    <t>VZT - Specifikace č. 1 - Montáže sociální zařízení</t>
  </si>
  <si>
    <t>751-2</t>
  </si>
  <si>
    <t>VZT - Specifikace č. 2 - Materiál sociální zařízení</t>
  </si>
  <si>
    <t>UT - Armatury</t>
  </si>
  <si>
    <t>VON - Vedlejší a ostatní náklady</t>
  </si>
  <si>
    <t>Koordinace a režie GD - Zdravotně technická instalace</t>
  </si>
  <si>
    <t>Koordinace a režie GD - Vytápění - UT</t>
  </si>
  <si>
    <t>Koordinace a režie GD - Elektromontáže - Ei /Silnoproudá elektrotechnika/</t>
  </si>
  <si>
    <t>Koordinace a režie GD - Vzduchotechnika - VZT</t>
  </si>
  <si>
    <t>stř. 23228</t>
  </si>
  <si>
    <t>Realizace výtahu a rekonstrukce navazujících prostor interiéru budovy Městského úřadu Smržovka</t>
  </si>
  <si>
    <t>č.p. 600, st.p.č. 1/1, k.ú. Smržovka [751324]</t>
  </si>
  <si>
    <t>Město Smržovka, nám. T.G.Masaryka č.p. 600, Smržovka, PSČ 46851</t>
  </si>
  <si>
    <t>002 62 579</t>
  </si>
  <si>
    <t>CZ00262579</t>
  </si>
  <si>
    <t>ateliér: Smetanova 1809/82, Jablonec nad Nisou, PSČ 46601</t>
  </si>
  <si>
    <t>Provedeno na základě předložené dokumentace "DSJ".</t>
  </si>
  <si>
    <t>Stávající objekt stavby občanského vybavení č.p. 600</t>
  </si>
  <si>
    <t>Přístavba ke stávajícímu objektu stavby občanského vybavení č.p. 600</t>
  </si>
  <si>
    <t>Zpevněné plochy, parkoviště, chodníky</t>
  </si>
  <si>
    <t>SO 04</t>
  </si>
  <si>
    <t>Sadové a terénní úpravy</t>
  </si>
  <si>
    <t>TO 01</t>
  </si>
  <si>
    <t>Slaboproudá technika a vybavení umístěná v objektu stavby občanského vybavení č.p. 600</t>
  </si>
  <si>
    <t>IO 01</t>
  </si>
  <si>
    <t>Splašková kanalizace</t>
  </si>
  <si>
    <t>IO 02</t>
  </si>
  <si>
    <t>Dešťová kanalizace</t>
  </si>
  <si>
    <t>LHOTA - STAVITELSTVÍ</t>
  </si>
  <si>
    <t>sdružení osob Bohumil Lhota a Ing. Vít Lhota, sídlo: Zásada 311, PSČ 46825</t>
  </si>
  <si>
    <t>IO 03</t>
  </si>
  <si>
    <t>Vodovodní přípojka</t>
  </si>
  <si>
    <t>IO 04</t>
  </si>
  <si>
    <t>Plynová přípojka</t>
  </si>
  <si>
    <t>SO 01 - Stávající objekt stavby občanského vybavení č.p. 600</t>
  </si>
  <si>
    <t>SO 02 - Přístavba ke stávajícímu objektu stavby občanského vybavení č.p. 600</t>
  </si>
  <si>
    <t>IO 02 - Dešťová kanalizace</t>
  </si>
  <si>
    <t>SO 03 - Zpevněné plochy, parkoviště, chodníky</t>
  </si>
  <si>
    <t>položky VON (1 až 5) ocenit pouze v ceně bez DPH (žluté pozadí)</t>
  </si>
  <si>
    <t>- zajištění rozborů</t>
  </si>
  <si>
    <t>- zajištění atestů</t>
  </si>
  <si>
    <t>- zajištění zkoušek</t>
  </si>
  <si>
    <t>- zajištění revizí</t>
  </si>
  <si>
    <t>(vše dle příslušných norem a dalších předpisů a nařízení platných v ČR, kterými bude prokázáno dosažení předepsané kvality a</t>
  </si>
  <si>
    <t xml:space="preserve"> parametrů dokončeného díla)</t>
  </si>
  <si>
    <t>- zajištění kontrolního a zkušebního plánu stavby a seznámení se s ním</t>
  </si>
  <si>
    <t>- dodržování podmínek a předpokladů kontrolního a zkušebního plánu stavby v průběhu realizace stavby</t>
  </si>
  <si>
    <t>Zkoušky, atesty a revize</t>
  </si>
  <si>
    <t>Projektová dokumentace v průběhu realizace</t>
  </si>
  <si>
    <t>Elektro přípojka</t>
  </si>
  <si>
    <t>Venkovní objekt IO 02</t>
  </si>
  <si>
    <t>(0,67+2,62+0,50+4,02+0,50+0,41+0,83+0,67)"konstrukce stávající zpevněné komunikace</t>
  </si>
  <si>
    <t>(0,67+2,62+0,50+4,02+0,50+0,41+0,83+0,67)*0,60*0,50"odkop pro povrchové odvodnění beton.žlabovka</t>
  </si>
  <si>
    <t>(1,02+0,60+0,77)*0,60*1,20"odkop pro PE-HD PE 50</t>
  </si>
  <si>
    <t>((0,60*0,60)*1,20)*2"odkop pro napojení do šachet</t>
  </si>
  <si>
    <t>((1,00*1,00)*1,85)*1"odkop pro osazení a napojení kanal.vpusti UV1</t>
  </si>
  <si>
    <t>((0,50*0,50)*0,75)*1"odkop pro osazení a napojení kanal.vpusti ST2</t>
  </si>
  <si>
    <t>((0,84+0,60+0,93)*0,60)*0,30"obsyp potrubí DN 125</t>
  </si>
  <si>
    <t>(1,02+0,60+0,77)*0,60*0,30"obsyp potrubí PE-HD PE 50</t>
  </si>
  <si>
    <t>((0,50*0,50)*0,50)*1"zásyp pro napojení kanal.vpusti ST2</t>
  </si>
  <si>
    <t>((1,00*1,00)*0,75)*1"zásyp pro napojení kanal.vpusti UV1</t>
  </si>
  <si>
    <t>((0,84+0,60+0,93)*0,60)*1,20"zásyp potrubí DN 125</t>
  </si>
  <si>
    <t>(0,84+0,60+0,93)*0,60*1,50"odkop pro DN 125</t>
  </si>
  <si>
    <t>((1,02+0,60+0,77)*0,60)*0,90"zásyp potrubí PE-HD PE 50</t>
  </si>
  <si>
    <t>(0,84+0,60+0,93)*0,60*1,50"z odkopu pro DN 125</t>
  </si>
  <si>
    <t>(1,02+0,60+0,77)*0,60*1,20"z odkopu pro PE-HD PE 50</t>
  </si>
  <si>
    <t>(0,67+2,62+0,50+4,02+0,50+0,41+0,83+0,67)*0,60*0,50"z odkopu pro povrchové odvodnění beton.žlabovka</t>
  </si>
  <si>
    <t>((0,60*0,60)*1,20)*2"z odkopu pro napojení do šachet</t>
  </si>
  <si>
    <t>((0,50*0,50)*0,75)*1"z odkopu pro osazení a napojení kanal.vpusti ST2</t>
  </si>
  <si>
    <t>((1,00*1,00)*1,85)*1"z odkopu pro osazení a napojení kanal.vpusti UV1</t>
  </si>
  <si>
    <t>979081119</t>
  </si>
  <si>
    <t>((0,84+0,60+0,93)*0,60*1,50)*1,87"z odkopu pro DN 125</t>
  </si>
  <si>
    <t>((1,02+0,60+0,77)*0,60*1,20)*1,87"z odkopu pro PE-HD PE 50</t>
  </si>
  <si>
    <t>((0,67+2,62+0,50+4,02+0,50+0,41+0,83+0,67)*0,60*0,50)*1,87"z odkopu pro povrchové odvodnění beton.žlabovka</t>
  </si>
  <si>
    <t>(((0,60*0,60)*1,20)*2)*1,87"z odkopu pro napojení do šachet</t>
  </si>
  <si>
    <t>(((0,50*0,50)*0,75)*1)*1,87"z odkopu pro osazení a napojení kanal.vpusti ST2</t>
  </si>
  <si>
    <t>(((1,00*1,00)*1,85)*1)*1,87"z odkopu pro osazení a napojení kanal.vpusti UV1</t>
  </si>
  <si>
    <t xml:space="preserve"> -((2,20*2,68)*0,10)*1,87"odpočet beton.suť z demontáže zámkové dlažby zadního vstupu m.č. 1.20 v přepočtu objemové hmotnosti horniny tř. 1-4</t>
  </si>
  <si>
    <t>((2,20*2,68)*0,10)*2,25"beton.suť z demontáže zámkové dlažby zadního vstupu m.č. 1.20</t>
  </si>
  <si>
    <t xml:space="preserve"> -((0,67+2,62+0,50+4,02+0,50+0,41+0,83+0,67)*0,60*0,10)*1,87"beton.suť z DMTZ povrchového odvodnění beton.žlabovka v přepočtu objemové hmotnosti horniny tř. 1-4</t>
  </si>
  <si>
    <t>((0,67+2,62+0,50+4,02+0,50+0,41+0,83+0,67)*0,60*0,10)*2,25"beton.suť z DMTZ povrchového odvodnění beton.žlabovka</t>
  </si>
  <si>
    <t>Poplatek za skládku stavebního odpadu z asfaltových povrchů</t>
  </si>
  <si>
    <t>Poplatek za skládku stavebního odpadu z betonových "okapových chodníků"</t>
  </si>
  <si>
    <t>(((2,62+0,50)*(4,02+0,50))*0,15)*2,15"asfalt.suť z odkopu asfalt.zpevněné plochy</t>
  </si>
  <si>
    <t xml:space="preserve"> -(((2,62+0,50)*(4,02+0,50))*0,15)*1,87"asfalt.suť z odkopu asfalt.zpevněné plochy v přepočtu objemové hmotnosti horniny tř. 1-4</t>
  </si>
  <si>
    <t>1"potrubí DN 110</t>
  </si>
  <si>
    <t>(0,018)*1"kanalizační vpusti</t>
  </si>
  <si>
    <t>1"potrubí DN 110 / DN 125</t>
  </si>
  <si>
    <t>871313110</t>
  </si>
  <si>
    <t>Montáž svislého potrubí z kanalizačních trub DN 110 z PVC otevřený výkop</t>
  </si>
  <si>
    <t>(1,00+0,50)"potrubí DN 110</t>
  </si>
  <si>
    <t>(0,84+0,60+0,93)"potrubí DN 125</t>
  </si>
  <si>
    <t>999120022</t>
  </si>
  <si>
    <t>kanalizační tvarovka PVC redukce KGR 125/110</t>
  </si>
  <si>
    <t>kanalizační potrubí z trub KGEM 110</t>
  </si>
  <si>
    <t>kanalizační potrubí z trub KGEM 125</t>
  </si>
  <si>
    <t>kanalizační tvarovka PVC koleno 87° KGB 125</t>
  </si>
  <si>
    <t>1"tvarovka DN 125</t>
  </si>
  <si>
    <t>(1,00+1,00+1,00)"potrubí DN 125</t>
  </si>
  <si>
    <t>871313100</t>
  </si>
  <si>
    <t>(1,02+0,60+0,77)"potrubí PE-HD PE 50</t>
  </si>
  <si>
    <t>(1,02+0,60+0,77)"potrubí PE 50</t>
  </si>
  <si>
    <t>kanalizační potrubí z tlakových trub PE-HD PE 50</t>
  </si>
  <si>
    <t>999120010</t>
  </si>
  <si>
    <t>kanalizační tvarovka PE přírubový spoj pro PE-HD PE 50</t>
  </si>
  <si>
    <t>1"tvarovka PE 50</t>
  </si>
  <si>
    <t>Montáž potrubí tvarovek z kanalizačních trub PVC do DN 125 otevřený výkop</t>
  </si>
  <si>
    <t>2"potrubí DN 125 koleno+redukce</t>
  </si>
  <si>
    <t>Montáž potrubí z tlakových trub do PE 100 otevřený výkop</t>
  </si>
  <si>
    <t>Montáž potrubí tvarovek z kanalizačních trub PE do DN 50 otevřený výkop</t>
  </si>
  <si>
    <t>2"potrubí PE 50 přírubový spoj+příruba fóliová</t>
  </si>
  <si>
    <t>999120011</t>
  </si>
  <si>
    <t>kanalizační tvarovka PE příruba fóliová pro PE-HD PE 50</t>
  </si>
  <si>
    <t>Přeložení stáv. revizní šachty do pr. 1,00 m vč. osazení poklopu</t>
  </si>
  <si>
    <t>1"šachta dešť.kanalizace UV1</t>
  </si>
  <si>
    <t>Obsyp šachty štěrkopískem se zhutněním</t>
  </si>
  <si>
    <t>(3,14*0,70*0,70*0,20)"šachta dešť.kanalizace UV1</t>
  </si>
  <si>
    <t>(3,14*1,40*0,30)"štěrkopís.obvodu šachty dešť.kanalizace UV1</t>
  </si>
  <si>
    <t>2"průrazy stěn revizní šachty UV1 pro potrubí DN 125 a PE 50</t>
  </si>
  <si>
    <t>(0,84+0,60+0,93)+(1,02+0,60+0,77)"potrubí DN 125+potrubí PE-HD PE 50</t>
  </si>
  <si>
    <t>Osazení kanalizační vpusti DN 110 s bočním vývodem</t>
  </si>
  <si>
    <t>vpusť venkovní kanalizační se suchou klapkou, DN 110, mřížka litina 150x150 mm</t>
  </si>
  <si>
    <t>1"vpusť ST2 DN 110</t>
  </si>
  <si>
    <t>ze součtu bez zemních prací, z položek 13 až 32</t>
  </si>
  <si>
    <t>SO 04 - Sadové a terénní úpravy</t>
  </si>
  <si>
    <t>Venkovní objekt SO 04</t>
  </si>
  <si>
    <t>(0,67+2,62+0,50+4,02+0,50+0,41+0,83+0,67+1,00+1,00+1,00+1,00)*2"konstrukce stávající zpevněné komunikace</t>
  </si>
  <si>
    <t>(0,67+2,62+0,50+4,02+0,50+0,41+0,83+0,67)*1,85*2,42"odkop po obvodu přístavby</t>
  </si>
  <si>
    <t>Podklad ze štěrkodrtě fr. 16-32 mm tl. 200 mm s rozprostřením a zhutněním po vrstvách a´ 200 mm</t>
  </si>
  <si>
    <t>((0,67+2,62+0,50+4,02+0,50+0,41+0,83+0,67)*1,85)*(2,42/0,200)"konstrukce, obsypy a násypy</t>
  </si>
  <si>
    <t>(0,67+2,62+0,50+4,02+0,50+0,41+0,83+0,67)*0,50*2,42"ochranné obsypy po obvodu přístavby a stávající stavby</t>
  </si>
  <si>
    <t>Obsyp s dodáním štěrkopísku fr. 16-32 mm</t>
  </si>
  <si>
    <t>175101102</t>
  </si>
  <si>
    <t>(0,67+2,62+0,50+4,02+0,50+0,41+0,83+0,67+1,00+1,00+1,00+1,00)*2*0,30"konstrukce stávající zpevněné komunikace</t>
  </si>
  <si>
    <t>(0,67+2,62+0,50+4,02+0,50+0,41+0,83+0,67+1,00+1,00+1,00+1,00)*2*0,20"konstrukce vybourané betonové komunikace</t>
  </si>
  <si>
    <t>(0,67+2,62+0,50+4,02+0,50+0,41+0,83+0,67+1,00+1,00+1,00+1,00)*2*0,10"konstrukce vybourané asfaltové komunikace</t>
  </si>
  <si>
    <t>(3,560+4,585+3,560)"konstrukce stávající zpevněné komunikace</t>
  </si>
  <si>
    <t>(3,560+4,585+3,560)*0,880*2,460"odkop po obvodu přístavby</t>
  </si>
  <si>
    <t>((3,560+4,585+3,560)*0,880*1,50)*2"pod konstrukci zpevněné komunikace</t>
  </si>
  <si>
    <t>(((3,560+4,585+3,560)*0,880*1,50)*2)*1,3"pod konstrukci zpevněné komunikace</t>
  </si>
  <si>
    <t>564852110</t>
  </si>
  <si>
    <t>Podklad ze štěrkodrtě fr. 32-63 mm tl. 300 mm s rozprostřením a zhutněním</t>
  </si>
  <si>
    <t>(3,560+4,585+3,560)*0,880"konstrukce pod zpevněnou komunikaci</t>
  </si>
  <si>
    <t>Podklad ze štěrkodrtě fr. 16-32 mm tl. 200 mm s rozprostřením a zhutněním</t>
  </si>
  <si>
    <t>(3,560+4,585+3,560)*0,880*0,250"ochranné obsypy</t>
  </si>
  <si>
    <t>(3,560+4,585+3,560)*0,880*2,360"odkop po obvodu přístavby</t>
  </si>
  <si>
    <t>(3,560+4,585+3,560)*0,880*0,100"odkop po obvodu přístavby</t>
  </si>
  <si>
    <t>(3,560+4,585+3,560)*0,880*1,50"pro konstrukci zpevněné komunikace</t>
  </si>
  <si>
    <t>((2,590+0,550)+(2,675+0,550*2)+(2,590+0,550))"pro konstrukci zpevněné komunikace</t>
  </si>
  <si>
    <t>(3,560+4,585+3,560)*0,880"spodní část konstrukce zpevněné komunikace</t>
  </si>
  <si>
    <t>(3,560+4,585+3,560)*0,880"pro konstrukci zpevněné komunikace</t>
  </si>
  <si>
    <t>Podklad ze štěrkodrtě fr. 8-16 mm zpevněné cementem do tl. 100 mm s rozprostřením a zhutněním</t>
  </si>
  <si>
    <t>(3,560+4,585+3,560)*0,880"konstrukce zpevněné komunikace</t>
  </si>
  <si>
    <t>Obalované kamenivo ACP 16S tl. 60 mm se zaválcováním</t>
  </si>
  <si>
    <t>(3,560+4,585+3,560)"dilatační napojení ke stáv. zpevněné komunikaci</t>
  </si>
  <si>
    <t>Při realizaci zpevněné komunikace je bezpodmínečně nutné dodržet zejména ČSN EN 13108-1, ČSN 73 6121, ČSN 73 6129, ČSN EN 13808, ČSN EN 13285, ČSN 73 6126-1.</t>
  </si>
  <si>
    <t>935112211</t>
  </si>
  <si>
    <t>((2,590+0,550)+(2,675+0,550*2)+(2,590+0,550)+(1,500+2,000))"pro konstrukci zpevněné komunikace</t>
  </si>
  <si>
    <t>592274100</t>
  </si>
  <si>
    <t>(((2,590+0,550)+(2,675+0,550*2)+(2,590+0,550)+(1,500+2,000))*1,2)/0,50-0,532"pro konstrukci zpevněné komunikace</t>
  </si>
  <si>
    <t>(1,500+2,200)"pro konstrukci zpevněné komunikace</t>
  </si>
  <si>
    <t>žlab betonový 500x500x130 mm přírodní hladký</t>
  </si>
  <si>
    <t>obrubník betonový chodníkový ABO 1-15 1000x150x300 mm přírodní hladký</t>
  </si>
  <si>
    <t>obrubník betonový chodníkový ABO 2-15 1000x150x250 mm přírodní hladký</t>
  </si>
  <si>
    <t>Osazení chodníkového obrubníku ABO 2-15 betonového s boční opěrou do lože z betonu prostého C 20/25 vč. přířezů</t>
  </si>
  <si>
    <t>Osazení chodníkového obrubníku ABO 1-15 betonového s boční opěrou do lože z betonu prostého C 20/25 vč. přířezů</t>
  </si>
  <si>
    <t>596211210</t>
  </si>
  <si>
    <t>dlažba betonová přírodní např. CSB CIHLA šedá tl. 60 mm, 200x100x60 mm</t>
  </si>
  <si>
    <t>592452132</t>
  </si>
  <si>
    <t>113106123</t>
  </si>
  <si>
    <t>Rozebrání dlažeb komunikací pro pěší ze zámkových dlaždic</t>
  </si>
  <si>
    <t>113202111</t>
  </si>
  <si>
    <t>Vytrhání obrub krajníků obrubníků stojatých</t>
  </si>
  <si>
    <t>Odstranění podkladů zpevněných ploch ze štěrkopísku stabilizovaného cementem</t>
  </si>
  <si>
    <t>(2,680+2,200)"zpevněné komunikace</t>
  </si>
  <si>
    <t>(2,580*2,100)"zpevněné komunikace</t>
  </si>
  <si>
    <t>(2,680*2,200)"lože zpevněné komunikace</t>
  </si>
  <si>
    <t>(2,580*2,100)*0,080"zámk.dl.zpevněné komunikace</t>
  </si>
  <si>
    <t>(2,680+2,200)*0,300*0,250"bet.obruby vč. zapatkování zpevněné komunikace</t>
  </si>
  <si>
    <t>(2,680*2,200)*0,040"lože zpevněné komunikace</t>
  </si>
  <si>
    <t>(2,580*2,100)*0,080*2,25"zámk.dl.zpevněné komunikace beton.suť z demontáže zámkové dlažby zadního vstupu m.č. 1.20</t>
  </si>
  <si>
    <t>((2,680+2,200)*0,300*0,250)*2,25"bet.obruby vč. zapatkování zpevněné komunikace beton.suť z demontáže zámkové dlažby zadního vstupu m.č. 1.20</t>
  </si>
  <si>
    <t>Kladení zámkové dlažby komunikací pro pěší tl. 60 mm, skupiny A pl. do 50 m2 vč. přířezů, ve spádu 2° = 3,5%</t>
  </si>
  <si>
    <t>596211211</t>
  </si>
  <si>
    <t>Podklad štěrkopískové lože fr. 0-8 mm zpevněné cementem tl. 40 mm s rozprostřením a zhutněním, ve spádu 2° = 3,5%</t>
  </si>
  <si>
    <t>(1,400*2,100)"zpevněné komunikace</t>
  </si>
  <si>
    <t>(1,400*2,100)*1,2"zpevněné komunikace</t>
  </si>
  <si>
    <t>(1,500+2,200)*0,300"pro obruby konstrukce zpevněné komunikace</t>
  </si>
  <si>
    <t>(1,400*2,100)"pod bet.zámk.dlažbu zpevněné komunikace</t>
  </si>
  <si>
    <t>Osazení betonového žlabu do C 15/20 tl. 10 cm z tvárnic 50 cm do betonového lože vč. přířezů, ve spádu 1,14° = 2%</t>
  </si>
  <si>
    <t>((2,590+0,550)+(2,675+0,550*2)+(2,590+0,550)+(1,500+2,000))*0,75"pro žlabovky zpevněné komunikace</t>
  </si>
  <si>
    <t>ze součtu bez zemních prací, od položky 17</t>
  </si>
  <si>
    <t>TO 01 - Slaboproudá technika a vybavení</t>
  </si>
  <si>
    <t xml:space="preserve">    1 - Vnitřní objekty</t>
  </si>
  <si>
    <t>Vnitřní objekt SO 01</t>
  </si>
  <si>
    <t>IO 01 - Splašková kanalizace</t>
  </si>
  <si>
    <t>Venkovní objekt IO 01</t>
  </si>
  <si>
    <t>IO 03 - Vodovodní přípojka</t>
  </si>
  <si>
    <t>Venkovní objekt IO 03</t>
  </si>
  <si>
    <t>IO 04 - Elektro přípojka</t>
  </si>
  <si>
    <t>Venkovní objekt IO 04</t>
  </si>
  <si>
    <t>IO 05 - Plynová přípojka</t>
  </si>
  <si>
    <t>Venkovní objekt IO 05</t>
  </si>
  <si>
    <t>Ruční výkop jam, rýh a šachet v hornině tř. 5</t>
  </si>
  <si>
    <t>Obsyp s dodáním štěrkopísku fr. 16-32 mm se zhutněním</t>
  </si>
  <si>
    <t>(2,200*1,180)*0,100*2,250"konstrukce vybourané betonové komunikace</t>
  </si>
  <si>
    <t>Základové desky ze ŽB bez zvýšených nároků na prostředí tř. C 25/30</t>
  </si>
  <si>
    <t>Výztuž pasů a sanace podbetonávek betonářskou ocelí 10 505</t>
  </si>
  <si>
    <t>130107120</t>
  </si>
  <si>
    <t>(10,60/1000)*2,625"U 100 do sanovaného základu</t>
  </si>
  <si>
    <t>Základové pasy z betonu tř. C 20/25 XC2</t>
  </si>
  <si>
    <t>273362021</t>
  </si>
  <si>
    <t>Výztuž základových desek ze svařovaných sítí KARI</t>
  </si>
  <si>
    <t>Základy z bednících tvárnic, tl. 30 cm, výplň C 25/30</t>
  </si>
  <si>
    <t>274361214</t>
  </si>
  <si>
    <t>Přizdívky plentování do tl 65 mm z cihel dl 290 mm pevnosti P 20 na MC 10</t>
  </si>
  <si>
    <t>Příplatek k přizdívkám plentování pro zaléváním maltou min MC 10</t>
  </si>
  <si>
    <t>Příplatek k zřízení podpěrné konstrukci nosníků pro zatížení do 20 kPa za atyp. založení podpěrné kce</t>
  </si>
  <si>
    <t>Příplatek k odstranění podpěrné konstrukci nosníků pro zatížení do 20 kPa za atyp. založení podpěrné kce</t>
  </si>
  <si>
    <t>417321415</t>
  </si>
  <si>
    <t>Ztužující pásy a věnce ze ŽB tř. C 25/30</t>
  </si>
  <si>
    <t>((0,300*0,750)+(0,600*1,150))*4"šachta pro čarpadlo</t>
  </si>
  <si>
    <t>((0,600+0,300+0,600+0,300)*0,150)*1,150+(0,600*0,300)*0,150"šachta pro čarpadlo</t>
  </si>
  <si>
    <t>((2,180*1,140)*4)*2"dveře šachtové výtahové</t>
  </si>
  <si>
    <t>622421121</t>
  </si>
  <si>
    <t>Vápenocementová omítka hladká jednovrstvá vnějších stěn nanášená ručně</t>
  </si>
  <si>
    <t>Vápenocementová omítka štuková dvouvrstvá vnějších stěn nanášená ručně</t>
  </si>
  <si>
    <t>622421141</t>
  </si>
  <si>
    <t>(1,140)*(0,325)*2"ostění prostupu</t>
  </si>
  <si>
    <t>(0,700+1,400+0,700+1,400)*(0,300+0,500)*2"ostění výplní vč. opravy stávajícího zdiva po napojení přístavby</t>
  </si>
  <si>
    <t>(0,700+1,400+0,700+1,400)*2*2"APU lišty aj. výplní</t>
  </si>
  <si>
    <t>profil okenní začišťovací s tkaninou</t>
  </si>
  <si>
    <t>Montáž omítkových samolepících začišťovacích profilů</t>
  </si>
  <si>
    <t>(0,700+1,400+0,700+1,400)*2*2"ostění</t>
  </si>
  <si>
    <t>16,800*1,100"přepočtené koeficientem množství</t>
  </si>
  <si>
    <t>Montáž ostatních lišt</t>
  </si>
  <si>
    <t>0,700*2*2"parapety</t>
  </si>
  <si>
    <t>profily parapetní, prahové</t>
  </si>
  <si>
    <t>((0,700*1,400)*2)*2"okna</t>
  </si>
  <si>
    <t>(1,140*0,350)*0,150"práh nátupnu do šachty z UT</t>
  </si>
  <si>
    <t>1,140*0,500"nástup do šachty</t>
  </si>
  <si>
    <t>637211131</t>
  </si>
  <si>
    <t>Okapový chodník z betonových dlaždic tl 50 mm kladených do písku se zalitím spár MC</t>
  </si>
  <si>
    <t>(2,970+10,015+2,970)*0,500"v upravované části podél fasády</t>
  </si>
  <si>
    <t>4,000"nástup a výstupy</t>
  </si>
  <si>
    <t>zárubeň ocelová atyp, 1 400 / 2 180 mm, L / P</t>
  </si>
  <si>
    <t>(2,280-0,250+2,025-0,250-0,250+2,280-0,250+2,025-0,250-0,250)*(12,500+0,500)"pro nové zdivo uvnitř přístavby</t>
  </si>
  <si>
    <t>(2,500)*(12,000+0,500)*2"podél stávajícího zdiva po napojení přístavby</t>
  </si>
  <si>
    <t>(2,500)*(8,000+0,500)*2"pro omítku a ostění výplní vč. opravy stávajícího zdiva po napojení přístavby</t>
  </si>
  <si>
    <t>4,617*4"pro jednotlivá podlaží</t>
  </si>
  <si>
    <t>4,074*3"pro jednotlivá podlaží</t>
  </si>
  <si>
    <t>(6,000*10,000)*1"pro jednotlivá podlaží</t>
  </si>
  <si>
    <t>(6,000*10,000)*2"pro jednotlivá podlaží</t>
  </si>
  <si>
    <t>(2,180*4)*4"pro jednotlivá podlaží</t>
  </si>
  <si>
    <t>967031132</t>
  </si>
  <si>
    <t>Přisekání rovných ostění v cihelném zdivu na MV nebo MVC po hrubém vybourání otvoru nebo zdiva</t>
  </si>
  <si>
    <t>(1,400+0,700+1,400+0,700)*0,600*2"výplně oken</t>
  </si>
  <si>
    <t>968061125</t>
  </si>
  <si>
    <t>Vyvěšení okenních křídel pl. do 2 m2</t>
  </si>
  <si>
    <t>(1,100*0,700)*1"venkovní výplně</t>
  </si>
  <si>
    <t>(1,100*2,100)*2"venkovní výplně</t>
  </si>
  <si>
    <t>764410850</t>
  </si>
  <si>
    <t>Demontáž oplechování parapetů rš do 330 mm</t>
  </si>
  <si>
    <t>(1,100)*3"venkovní výplně</t>
  </si>
  <si>
    <t>968062355</t>
  </si>
  <si>
    <t>(1,000)*3"venkovní výplně</t>
  </si>
  <si>
    <t>974031666</t>
  </si>
  <si>
    <t>Vysekání rýh ve zdivu cihelném pro vtahování nosníků hl do 150 mm v do 250 mm</t>
  </si>
  <si>
    <t>(1,540*3)*3"interiérové nástupní a výstupní stanice</t>
  </si>
  <si>
    <t>(1,000*3)*2"venkovní výplně oken</t>
  </si>
  <si>
    <t>973031324</t>
  </si>
  <si>
    <t>Vysekání kapes zeď cihel. MVC pro osazení I nosníků</t>
  </si>
  <si>
    <t>(3,000*2)*3"interiérové nástupní a výstupní stanice</t>
  </si>
  <si>
    <t>(3,000*2)*2"venkovní výplně oken</t>
  </si>
  <si>
    <t>Bourání parapetů dřevěných š. do 500 mm</t>
  </si>
  <si>
    <t>968095002</t>
  </si>
  <si>
    <t>Otlučení omítek vnějších MVC v složit 1-4 do 100%</t>
  </si>
  <si>
    <t>978015291</t>
  </si>
  <si>
    <t>(5,000*2)*2"prostupy navazujícího krovu</t>
  </si>
  <si>
    <t>978013191</t>
  </si>
  <si>
    <t>Otlučení vnitřní vápenné nebo vápenocementové omítky stěn v rozsahu do 100 %</t>
  </si>
  <si>
    <t>(3,650*3,450)*3"stávající zdivo pro napojení přístavby v interiéru</t>
  </si>
  <si>
    <t>766421821</t>
  </si>
  <si>
    <t>Demontáž obložení stěn dřevěné pro budoucí napojení a zpětné použití</t>
  </si>
  <si>
    <t>(3,650*1,800)*2"stávající zdivo v interiéru</t>
  </si>
  <si>
    <t>Vysekání rýh ve zdivu cihelném hl do 100 mm š do 100 mm</t>
  </si>
  <si>
    <t>15"pro ZTi</t>
  </si>
  <si>
    <t>11"pro UT</t>
  </si>
  <si>
    <t>84"pro Ei</t>
  </si>
  <si>
    <t>10"pro VZT</t>
  </si>
  <si>
    <t>971033241</t>
  </si>
  <si>
    <t>Vybourání otvorů ve zdivu cihelném pl do 0,0225 m2 na MVC nebo MV tl do 300 mm</t>
  </si>
  <si>
    <t>3"pro ZTi</t>
  </si>
  <si>
    <t>2"pro UT</t>
  </si>
  <si>
    <t>16"pro Ei</t>
  </si>
  <si>
    <t>2"pro VZT</t>
  </si>
  <si>
    <t>979082111</t>
  </si>
  <si>
    <t>Vnitrostaveništní doprava suti a vybouraných hmot pro budovy v do 10 m s omezením mechanizace</t>
  </si>
  <si>
    <t>Odvoz suti a vybouraných hmot na skládku nebo meziskládku do 1 km se složením</t>
  </si>
  <si>
    <t>Příplatek k odvozu suti a vybouraných hmot na skládku ZKD 1 km přes 1 km</t>
  </si>
  <si>
    <t>Poplatek za uložení stavebního směsného odpadu na skládce (skládkovné)</t>
  </si>
  <si>
    <t>(30,000+30,000+9,000)"pro zavázaní zdiva a základů</t>
  </si>
  <si>
    <t>(2,625*5)+(1,250*4)"pro zavázaní zdiva a základů</t>
  </si>
  <si>
    <t>764510450</t>
  </si>
  <si>
    <t>Demontáž části plechové krytiny vč. podkladu pro budoucí napojení</t>
  </si>
  <si>
    <t>((5,075+2,555)*1,000)*2"stávající střešní plášť</t>
  </si>
  <si>
    <t>766680511</t>
  </si>
  <si>
    <t>Demontáž bednění střech pro budoucí napojení</t>
  </si>
  <si>
    <t>711141559</t>
  </si>
  <si>
    <t>Provedení izolace proti zemní vlhkosti pásy přitavením vodorovné NAIP 2vrstvy</t>
  </si>
  <si>
    <t>628331580</t>
  </si>
  <si>
    <t>711111001</t>
  </si>
  <si>
    <t>711112001</t>
  </si>
  <si>
    <t>711142559</t>
  </si>
  <si>
    <t>Provedení izolace proti zemní vlhkosti pásy přitavením svislé NAIP 2vrstvy</t>
  </si>
  <si>
    <t>pás těžký asfaltovaný modifikov., např. GLASTEK Al 40 MINERAL</t>
  </si>
  <si>
    <t>711212001</t>
  </si>
  <si>
    <t>998711201</t>
  </si>
  <si>
    <t>Přesun hmot pro izolace proti vodě, vlhkosti a plynům v objektech výšky do 12 m</t>
  </si>
  <si>
    <t>Povlakové krytiny</t>
  </si>
  <si>
    <t xml:space="preserve">    712 - Povlakové krytiny</t>
  </si>
  <si>
    <t>(4,500*5,075)"zastřešení výtahové šachty vč. napojení</t>
  </si>
  <si>
    <t>folie parotěsná, např. DEKFOL REFLEX N 150</t>
  </si>
  <si>
    <t>283292680</t>
  </si>
  <si>
    <t>folie podstřešní difúzní, např. OMEGA GRAINY PLUS</t>
  </si>
  <si>
    <t>(4,500*5,075)*1,10"zastřešení výtahové šachty vč. napojení přepočtené koeficientem množství</t>
  </si>
  <si>
    <t>Montáž strukturované oddělovací vrstvy s integrovanou pojistnou hydroizolací rš přes 1000 mm pod finální plechovou krytinu</t>
  </si>
  <si>
    <t>998712101</t>
  </si>
  <si>
    <t>111631500</t>
  </si>
  <si>
    <t>lak asfaltový ALP/9 (MJ t) bal 9 kg, např. PENETRAL ALP</t>
  </si>
  <si>
    <t>Provedení izolace proti zemní vlhkosti vodorovné za studena nátěrem penetračním</t>
  </si>
  <si>
    <t>Provedení izolace proti zemní vlhkosti svislé za studena nátěrem penetračním</t>
  </si>
  <si>
    <t>deska minerální izolační, např. ISOVER ORSIK 600 x 1 200 mm tl. 120 mm</t>
  </si>
  <si>
    <t>631481130</t>
  </si>
  <si>
    <t>631481110</t>
  </si>
  <si>
    <t>deska minerální izolační, např. ISOVER ORSIK 600 x 1 200 mm tl. 60 mm</t>
  </si>
  <si>
    <t>631481100</t>
  </si>
  <si>
    <t>deska minerální izolační, např. ISOVER ORSIK 600 x 1 200 mm tl. 40 mm</t>
  </si>
  <si>
    <t>763131861</t>
  </si>
  <si>
    <t>Příplatek k tepelné izolaci za malou plochu k jednotlivé vrstvě</t>
  </si>
  <si>
    <t>Přesun hmot pro izolace tepelné v objektech v do 12 m</t>
  </si>
  <si>
    <t>998713301</t>
  </si>
  <si>
    <t>Osazení poklopu s rámem 300 / 300 mm</t>
  </si>
  <si>
    <t>721233300</t>
  </si>
  <si>
    <t>poklop s rámem ocel / litina / plast pochozí 300 / 300 mm</t>
  </si>
  <si>
    <t>Vysekání rýh ve zdi cihelné 100x100 mm, vnitřní kanalizace</t>
  </si>
  <si>
    <t>971042131</t>
  </si>
  <si>
    <t>Vybourání otvorů zdi betonové pl. 0,09 m2, do tl. 300 mm, vnitřní kanalizace</t>
  </si>
  <si>
    <t>0,209"bourací práce vnitřní kanalizace</t>
  </si>
  <si>
    <t>0,209*5"bourací práce vnitřní kanalizace</t>
  </si>
  <si>
    <t>0,209*19"bourací práce vnitřní kanalizace</t>
  </si>
  <si>
    <t>1"mč.1.22 čerpadlo</t>
  </si>
  <si>
    <t>2,500*0,500*1,000"mč.1.22 čerpadlo</t>
  </si>
  <si>
    <t>2,500*0,500*0,300"mč.1.22 čerpadlo</t>
  </si>
  <si>
    <t>2,500"mč.1.22 čerpadlo</t>
  </si>
  <si>
    <t>3"mč.1.22 čerpadlo</t>
  </si>
  <si>
    <t>Osazení a napojení kalového čerpadla</t>
  </si>
  <si>
    <t>dodávka kalového čerpadla se zpětnou klapkou, např. GRUNDFOS UNILIFT KP 150</t>
  </si>
  <si>
    <t>1,000"mč.1.22 čerpadlo</t>
  </si>
  <si>
    <t>1,000"kpl</t>
  </si>
  <si>
    <t>10,000"hod</t>
  </si>
  <si>
    <r>
      <t>Ei - Specifikace č. 1 - Rozváděč R</t>
    </r>
    <r>
      <rPr>
        <vertAlign val="subscript"/>
        <sz val="10"/>
        <color rgb="FF003366"/>
        <rFont val="Trebuchet MS"/>
        <family val="2"/>
        <charset val="238"/>
      </rPr>
      <t>P</t>
    </r>
  </si>
  <si>
    <t>4,500"propojení</t>
  </si>
  <si>
    <r>
      <t>kabel CYKY-J 5x 6 mm2, propojovací kabel k rozvaděči R</t>
    </r>
    <r>
      <rPr>
        <i/>
        <vertAlign val="subscript"/>
        <sz val="8"/>
        <color rgb="FF0000FF"/>
        <rFont val="Trebuchet MS"/>
        <family val="2"/>
        <charset val="238"/>
      </rPr>
      <t>VYT</t>
    </r>
  </si>
  <si>
    <t>6,500"propojení</t>
  </si>
  <si>
    <r>
      <t>kabel CYKY-J 3x 1,5 mm2, propojovací kabel k rozvaděči R</t>
    </r>
    <r>
      <rPr>
        <i/>
        <vertAlign val="subscript"/>
        <sz val="8"/>
        <color rgb="FF0000FF"/>
        <rFont val="Trebuchet MS"/>
        <family val="2"/>
        <charset val="238"/>
      </rPr>
      <t>VYT</t>
    </r>
  </si>
  <si>
    <t>trubka elektroinstalační plastová ohebná 40 mm včetně tvarovek a příchytek</t>
  </si>
  <si>
    <t>trubka elektroinstalační plastová ohebná 25 mm včetně tvarovek a příchytek</t>
  </si>
  <si>
    <r>
      <t>Ei - Specifikace č. 2 - Rozváděč R</t>
    </r>
    <r>
      <rPr>
        <vertAlign val="subscript"/>
        <sz val="10"/>
        <color rgb="FF003366"/>
        <rFont val="Trebuchet MS"/>
        <family val="2"/>
        <charset val="238"/>
      </rPr>
      <t>VYT</t>
    </r>
  </si>
  <si>
    <t>nosná konstrukce rozváděče, 480x580x120 mm, IP43/20</t>
  </si>
  <si>
    <t>jistič C25/3, 16A</t>
  </si>
  <si>
    <t>jistič C16/1, 15A</t>
  </si>
  <si>
    <t>proudový chránič s nadproudovou spouští</t>
  </si>
  <si>
    <t>svorky</t>
  </si>
  <si>
    <t>1,000"dl.</t>
  </si>
  <si>
    <t>stykače</t>
  </si>
  <si>
    <t>1,000"ks</t>
  </si>
  <si>
    <t>4,000"ks</t>
  </si>
  <si>
    <t>18,000"ks</t>
  </si>
  <si>
    <t>2,000"ks</t>
  </si>
  <si>
    <t>19,000"ks</t>
  </si>
  <si>
    <t>Ei - Specifikace č. 3 - Elektromateriál</t>
  </si>
  <si>
    <t>28,500"připojení technologie výtahu</t>
  </si>
  <si>
    <r>
      <t>kabel CYKY-J 3x 2,5 mm2, propojovací kabel k rozvaděči R</t>
    </r>
    <r>
      <rPr>
        <i/>
        <vertAlign val="subscript"/>
        <sz val="8"/>
        <color rgb="FF0000FF"/>
        <rFont val="Trebuchet MS"/>
        <family val="2"/>
        <charset val="238"/>
      </rPr>
      <t>VYT</t>
    </r>
  </si>
  <si>
    <t>6,500*2"propojení</t>
  </si>
  <si>
    <t>(27,430+12,500)*2"rozvody</t>
  </si>
  <si>
    <t>(17,440+9,500+4,650+12,500)*2"rozvody</t>
  </si>
  <si>
    <t>(17,440+12,500)*2"rozvody</t>
  </si>
  <si>
    <t>28,500"rozvody</t>
  </si>
  <si>
    <t>64"rozvody</t>
  </si>
  <si>
    <t>Potrubí tlakové PE-HD PE 50 svodné (ležaté) v zemi (Dod.+Mont.+Zem.pr.+Likvidace výkopku)</t>
  </si>
  <si>
    <t>871313327</t>
  </si>
  <si>
    <t>Vyvedení odpadních výustek (pro čerpadlo)</t>
  </si>
  <si>
    <t xml:space="preserve">Zkouška těsnosti kanalizace vodou do DN 200 </t>
  </si>
  <si>
    <t>4"ks</t>
  </si>
  <si>
    <t>3"ks</t>
  </si>
  <si>
    <t>1"ks</t>
  </si>
  <si>
    <t>svítidlo nástěnné přisazené venkovní s pohybovým čidlem, např. LEDVANCE ENDURA STYLE WALL WIDE, 230 V, 3 000 K, 750 lm, IP44, LED 12 W</t>
  </si>
  <si>
    <t>svítidlo stropní / nástěnné přisazené, např. EMOS LED REFLEKTOR INOVO 150 W, 230 V, 4 000 K, 16 500 lm, IP65, LED 150 W</t>
  </si>
  <si>
    <t>svítidlo stropní přisazené s pohybovým čidlem, např. BRILONER LED PIATTO SENZOR, 230 V, 4 000 K, 1 300 lm, IP20, LED 12 W</t>
  </si>
  <si>
    <t>svítidlo nouzové přisazené, např. LED NOUZOVÉ OSVĚTLENÍ EMOS CESSI 3 W, 3 hod, 230 V, 5 000 K, 30 lm, IP20, LED 1 W</t>
  </si>
  <si>
    <t>vypínač nástěnný, ve skříni 230V/10A/IP44</t>
  </si>
  <si>
    <t>vypínač nástěnný, ve skříni 230V/25A/IP44</t>
  </si>
  <si>
    <t>2"ks</t>
  </si>
  <si>
    <t>jednopólový vypínač pod omítku, 250V/10A, např. ABB TANGO</t>
  </si>
  <si>
    <t>seriový přepínač pod omítku, 250V/10A, např. ABB TANGO</t>
  </si>
  <si>
    <t>6"ks</t>
  </si>
  <si>
    <t>5"ks</t>
  </si>
  <si>
    <t>8"ks</t>
  </si>
  <si>
    <t>3"ks kpl</t>
  </si>
  <si>
    <t>6"ks kpl</t>
  </si>
  <si>
    <t>4"dl.</t>
  </si>
  <si>
    <t>4,500*2"propojení</t>
  </si>
  <si>
    <t>749-3.R26</t>
  </si>
  <si>
    <t>749-3.R27</t>
  </si>
  <si>
    <r>
      <t>montáž nástěnného rozváděče R</t>
    </r>
    <r>
      <rPr>
        <vertAlign val="subscript"/>
        <sz val="8"/>
        <rFont val="Trebuchet MS"/>
        <family val="2"/>
        <charset val="238"/>
      </rPr>
      <t>VYT</t>
    </r>
    <r>
      <rPr>
        <sz val="8"/>
        <rFont val="Trebuchet MS"/>
        <family val="2"/>
        <charset val="238"/>
      </rPr>
      <t>, 480x580x120 mm, IP43/20</t>
    </r>
  </si>
  <si>
    <t>Ei - Specifikace č. 4 - Elektromontáže</t>
  </si>
  <si>
    <r>
      <t>zapojení rozváděčů R</t>
    </r>
    <r>
      <rPr>
        <vertAlign val="subscript"/>
        <sz val="8"/>
        <rFont val="Trebuchet MS"/>
        <family val="2"/>
        <charset val="238"/>
      </rPr>
      <t>3</t>
    </r>
    <r>
      <rPr>
        <sz val="8"/>
        <rFont val="Trebuchet MS"/>
        <family val="2"/>
        <charset val="238"/>
      </rPr>
      <t xml:space="preserve"> ,a R</t>
    </r>
    <r>
      <rPr>
        <vertAlign val="subscript"/>
        <sz val="8"/>
        <rFont val="Trebuchet MS"/>
        <family val="2"/>
        <charset val="238"/>
      </rPr>
      <t>P</t>
    </r>
    <r>
      <rPr>
        <sz val="8"/>
        <rFont val="Trebuchet MS"/>
        <family val="2"/>
        <charset val="238"/>
      </rPr>
      <t xml:space="preserve"> a R</t>
    </r>
    <r>
      <rPr>
        <vertAlign val="subscript"/>
        <sz val="8"/>
        <rFont val="Trebuchet MS"/>
        <family val="2"/>
        <charset val="238"/>
      </rPr>
      <t>VYP</t>
    </r>
  </si>
  <si>
    <t>2"ks stávající</t>
  </si>
  <si>
    <t>1"ks nový</t>
  </si>
  <si>
    <t>4,500"rozvody</t>
  </si>
  <si>
    <t>4,500*2"rozvody</t>
  </si>
  <si>
    <t>4"dl. rozvody</t>
  </si>
  <si>
    <t>4,500"rozvody chr. tuhá 25 mm</t>
  </si>
  <si>
    <t>4,500*2"rozvody chr. tuhá 40 mm</t>
  </si>
  <si>
    <t>montáž trubky elektroinstalační plastové tuhé 25 mm včetně tvarovek a příchytek</t>
  </si>
  <si>
    <t>montáž trubky elektroinstalační plastové tuhé 40 mm včetně tvarovek a příchytek</t>
  </si>
  <si>
    <t>montáž drátěného zinkovaného elektroinstalačního žlabu 150/50</t>
  </si>
  <si>
    <t>749-4.R15</t>
  </si>
  <si>
    <t>montáž svítidla - stropní / nástěnné přisazené, např. EMOS LED REFLEKTOR INOVO 150 W, 230 V, 4 000 K, 16 500 lm, IP65, LED 150 W</t>
  </si>
  <si>
    <t>montáž svítidla - nástěnné přisazené venkovní s pohybovým čidlem, např. LEDVANCE ENDURA STYLE WALL WIDE, 230 V, 3 000 K, 750 lm, IP44, LED 12 W</t>
  </si>
  <si>
    <t>montáž svítidla - stropní přisazené s pohybovým čidlem, např. BRILONER LED PIATTO SENZOR, 230 V, 4 000 K, 1 300 lm, IP20, LED 12 W</t>
  </si>
  <si>
    <t>montáž svítidla - nouzové přisazené, např. LED NOUZOVÉ OSVĚTLENÍ EMOS CESSI 3 W, 3 hod, 230 V, 5 000 K, 30 lm, IP20, LED 1 W</t>
  </si>
  <si>
    <t>749-4.R29</t>
  </si>
  <si>
    <t>montáž vypínače nástěnného, ve skříni 230V/10A/IP44</t>
  </si>
  <si>
    <t>montáž vypínače nástěnného, ve skříni 230V/25A/IP44</t>
  </si>
  <si>
    <t>montáž přípojnice HOP</t>
  </si>
  <si>
    <t>montáž jednopólového vypínače pod omítku, 250V/10A, např. ABB TANGO</t>
  </si>
  <si>
    <t>montáž seriového přepínače pod omítku, 250V/10A, např. ABB TANGO</t>
  </si>
  <si>
    <t>montáž zásuvky pod omítku jednoduchá, 250 V/16A</t>
  </si>
  <si>
    <t>montáž zásuvky pod omítku dvojitá, 250 V/16A</t>
  </si>
  <si>
    <t>montáž krabice přístrojové pod omítku KU 68</t>
  </si>
  <si>
    <t>montáž krabice odbočné pod omítku KR 68</t>
  </si>
  <si>
    <t>montáž krabice odbočné pod omítku KR 97</t>
  </si>
  <si>
    <t>montáž svorky pro uzemnění žlabu</t>
  </si>
  <si>
    <t>749-4.R30</t>
  </si>
  <si>
    <t>montáž kabelu CYKY-J 3x 2,5 mm2 pevně</t>
  </si>
  <si>
    <t>montáž kabelu CYKY-J 3x 1,5 mm2 pevně</t>
  </si>
  <si>
    <t>montáž kabelu CYKY-O 3x 1,5 mm2 pevně</t>
  </si>
  <si>
    <t>montáž vodiče CY 16 zelenožlutý pevně</t>
  </si>
  <si>
    <t>montáž vodiče CY 6 zelenožlutý pevně</t>
  </si>
  <si>
    <t>montáž kabelu CYKY v chráničce</t>
  </si>
  <si>
    <t>montáž kabelu CYKY v drátěném zinkovaném elektroinstalačním žlabu 150/50</t>
  </si>
  <si>
    <t>749-4.R31</t>
  </si>
  <si>
    <t>749-4.R32</t>
  </si>
  <si>
    <t>749-4.R33</t>
  </si>
  <si>
    <t>20"rozvody 3x 2,5</t>
  </si>
  <si>
    <t>18"rozvody 3x 1,5</t>
  </si>
  <si>
    <t>10"rozvody O 3x 1,5</t>
  </si>
  <si>
    <t>6"rozvody CY 16</t>
  </si>
  <si>
    <t>12"rozvody CY 6</t>
  </si>
  <si>
    <t>2"rozvody chr. tuhá 25 mm</t>
  </si>
  <si>
    <t>4"rozvody chr. tuhá 40 mm</t>
  </si>
  <si>
    <t>2"rozvody v drátěném zinkovaním elektroinstalačním žlabu 150/50</t>
  </si>
  <si>
    <t>8"připojení technologie výtahu</t>
  </si>
  <si>
    <t>12"ks</t>
  </si>
  <si>
    <t>749-4.R34</t>
  </si>
  <si>
    <t>Ei - Specifikace č. 5 - Související stavební práce</t>
  </si>
  <si>
    <r>
      <t>oprava zdiva a maleb po úpravě rozváděčů R</t>
    </r>
    <r>
      <rPr>
        <vertAlign val="subscript"/>
        <sz val="8"/>
        <rFont val="Trebuchet MS"/>
        <family val="2"/>
        <charset val="238"/>
      </rPr>
      <t>3</t>
    </r>
    <r>
      <rPr>
        <sz val="8"/>
        <rFont val="Trebuchet MS"/>
        <family val="2"/>
        <charset val="238"/>
      </rPr>
      <t xml:space="preserve"> a R</t>
    </r>
    <r>
      <rPr>
        <vertAlign val="subscript"/>
        <sz val="8"/>
        <rFont val="Trebuchet MS"/>
        <family val="2"/>
        <charset val="238"/>
      </rPr>
      <t>P</t>
    </r>
    <r>
      <rPr>
        <sz val="8"/>
        <rFont val="Trebuchet MS"/>
        <family val="2"/>
        <charset val="238"/>
      </rPr>
      <t xml:space="preserve"> a osazení rozváděče R</t>
    </r>
    <r>
      <rPr>
        <vertAlign val="subscript"/>
        <sz val="8"/>
        <rFont val="Trebuchet MS"/>
        <family val="2"/>
        <charset val="238"/>
      </rPr>
      <t>VYT</t>
    </r>
  </si>
  <si>
    <t>průraz zdivem se začištěním do tloušťky stěny 600 mm</t>
  </si>
  <si>
    <t>zapojení vodiče do 5x 6 mm2</t>
  </si>
  <si>
    <t>zapojení vodiče do 3x 2,5 mm2</t>
  </si>
  <si>
    <t xml:space="preserve">    755 - Strojní části dopravních zařízení a vah - M33 Výtahy</t>
  </si>
  <si>
    <t>Strojní části dopravních zařízení a vah - M33 Výtahy</t>
  </si>
  <si>
    <t>Zkouška elektroinstalace a revizní zpráva</t>
  </si>
  <si>
    <t>1,000"Ei kpl</t>
  </si>
  <si>
    <t>749-0.R01</t>
  </si>
  <si>
    <t>749-0.R02</t>
  </si>
  <si>
    <t>749-0.R03</t>
  </si>
  <si>
    <t>749-0.R04</t>
  </si>
  <si>
    <t>1,562"bourací práce elektroinstalace</t>
  </si>
  <si>
    <t>1,562*5"bourací práce elektroinstalace</t>
  </si>
  <si>
    <t>1,562*19"bourací práce elektroinstalace</t>
  </si>
  <si>
    <t>Koordinace a režie GD - M33 Výtahy</t>
  </si>
  <si>
    <t>((18,80/1000)*2,000)*6"U 160 konstrukční pro výtah propojení nosníků</t>
  </si>
  <si>
    <t>((18,80/1000)*12,550)*2"U 160 konstrukční pro výtah hl. nosníky</t>
  </si>
  <si>
    <t>ocel profilová UPN U100, v jakosti S235JR, h=100 mm</t>
  </si>
  <si>
    <t>ocel profilová UPN U160, v jakosti S235JR, h=160 mm</t>
  </si>
  <si>
    <t>Příplatek k osazování ocelových válcovaných nosníků na zdivu I, IE, U, UE nebo L do č 22 za kotvení systémy</t>
  </si>
  <si>
    <t>Nátěr ocelových válcovaných nosníků na zdivu I, IE, U, UE nebo L, dvojnásobný vodou ředitelný např. PRIMALEX 2v1</t>
  </si>
  <si>
    <t>((0,160*2+0,085*4)*2,000)*6"U 160 konstrukční pro výtah propojení nosníků</t>
  </si>
  <si>
    <t>((0,160*2+0,085*4)*12,550)*2"U 160 konstrukční pro výtah hl. nosníky</t>
  </si>
  <si>
    <t>755-1</t>
  </si>
  <si>
    <t>M33 Výtahy - Montáže stavebních částí, koordinace a přípomoci</t>
  </si>
  <si>
    <t>755-1.R01</t>
  </si>
  <si>
    <t>755-1.R02</t>
  </si>
  <si>
    <t>755-1.R03</t>
  </si>
  <si>
    <t>755-1.R04</t>
  </si>
  <si>
    <t>755-1.R05</t>
  </si>
  <si>
    <t>755-2.R01</t>
  </si>
  <si>
    <t>755-2</t>
  </si>
  <si>
    <t>M33 Výtahy - Dodávky a montáže technologických částí</t>
  </si>
  <si>
    <t>1"kpl soubor dodávky technologie osobního výtahu vč. dopravy imobilních</t>
  </si>
  <si>
    <t>755-2.R02</t>
  </si>
  <si>
    <t>1"kpl soubor montáže technologie osobního výtahu vč. dopravy imobilních</t>
  </si>
  <si>
    <t>Přesun hmot pro budovy zděné v do 12 m stavebních částí M33</t>
  </si>
  <si>
    <t>755-2.R03</t>
  </si>
  <si>
    <t>1"kpl soubor technologie osobního výtahu vč. dopravy imobilních</t>
  </si>
  <si>
    <t>Revize - seřízení výtahu, uvedení do provozu, zaškolení obsluhy a výchozí revize</t>
  </si>
  <si>
    <t>755-1.R06</t>
  </si>
  <si>
    <t>755-1.R07</t>
  </si>
  <si>
    <t>755-1.R08</t>
  </si>
  <si>
    <t>751-1.R09</t>
  </si>
  <si>
    <t>751-1.R010</t>
  </si>
  <si>
    <t>ROZPOCET</t>
  </si>
  <si>
    <t>-1596217197</t>
  </si>
  <si>
    <t>True</t>
  </si>
  <si>
    <t>0</t>
  </si>
  <si>
    <t>8</t>
  </si>
  <si>
    <t>-1859281666</t>
  </si>
  <si>
    <t>283764520</t>
  </si>
  <si>
    <t>deska z extrudovaného polystyrénu  XPS tl. 50 mm - vroubkovaný</t>
  </si>
  <si>
    <t>řezivo stavební prkna prismovaná (středová) tloušťky 25 mm délky 4 m</t>
  </si>
  <si>
    <t>16</t>
  </si>
  <si>
    <t>2005810051</t>
  </si>
  <si>
    <t>32</t>
  </si>
  <si>
    <t>217258888</t>
  </si>
  <si>
    <t>Montáž dřevostaveb střešní konstrukce krokví, vaznic, ztužidel a zavětrování</t>
  </si>
  <si>
    <t>řezivo stavební hranol délka do 5,00 m</t>
  </si>
  <si>
    <t>(3,500+5,075+0,400)*0,200"bočnice a podhled přístřešku přístavby</t>
  </si>
  <si>
    <t>(3,500*0,800)"štít přístavby</t>
  </si>
  <si>
    <t>(3,500*0,800)*1,100"štít přístavby  přepočteno koeficientem</t>
  </si>
  <si>
    <t>((3,500+5,075+0,400)*0,200)*1,100"bočnice a podhled přístřešku přístavby přepočteno koeficientem</t>
  </si>
  <si>
    <t>(3,500*0,800)*0,05"štít přístavby</t>
  </si>
  <si>
    <t>((3,500+5,075+0,400)*0,200)*0,05"bočnice a podhled přístřešku přístavby</t>
  </si>
  <si>
    <t>Přesun hmot pro kce tesařské v objektech v do 12 m</t>
  </si>
  <si>
    <t>obkladové desky CETRIS tl. 20 mm nebroušené na P+D</t>
  </si>
  <si>
    <t>Montáž obložení stěn z desek CETRIS tl 20 mm nebroušených na pero a drážku šroubovaných</t>
  </si>
  <si>
    <t>SDK podhled deska 1xDF 15 bez TI dvouvrstvá spodní kce profil CD+UD (parozábrana a tepelná izolace viz výše v PSV)</t>
  </si>
  <si>
    <t>Příplatek k SDK podhledu za malou plochu jednotlivě</t>
  </si>
  <si>
    <t>Přesun hmot tonážní pro suchou výstavbu v objektech v do 12 m</t>
  </si>
  <si>
    <t>Krytina střechy rovné falcované z TiZn plechu Rheizink ve sklonu do 30° s napojením na stávající krytinu z TiZn plechu Rheizink (strukturovaná oddělovací vrstva viz výše v PSV)</t>
  </si>
  <si>
    <t>Oplechování okapu z TiZn plechu Rheizink spojením na dvojitou ležatou drážku</t>
  </si>
  <si>
    <t>5,075"okap zastřešení výtahové šachty</t>
  </si>
  <si>
    <t>Oplechování štítu závětrnou lištou z TiZn plechu Rheizink rš 330 mm</t>
  </si>
  <si>
    <t>(4,500+0,400)"pro zastřešení výtahové šachty vč. napojení</t>
  </si>
  <si>
    <t>Sněhový zachytávač krytiny z TiZn plechu Rheizink průběžný dvoutrubkový</t>
  </si>
  <si>
    <t>(8,775+25,390+2,810)"pro střechu přístavby</t>
  </si>
  <si>
    <t>(0,965*3)"pro naznačené (zazděné) výplně přístavby</t>
  </si>
  <si>
    <t>Oplechování rovných parapetů celoplošně lepené z TiZn plechu Rheizink do rš 330 mm</t>
  </si>
  <si>
    <t>Žlab podokapní půlkruhový z TiZn plechu Rheizink do rš 500 mm</t>
  </si>
  <si>
    <t>764511703</t>
  </si>
  <si>
    <t>764518723</t>
  </si>
  <si>
    <t>Svody kruhové včetně objímek, kolen, odskoků z TiZn plechu Rheizink do průměru 150 mm</t>
  </si>
  <si>
    <t>(5,205+0,380+4,070)"střechy přístavby</t>
  </si>
  <si>
    <t>1,900"stávající střechy</t>
  </si>
  <si>
    <t>10,920"střechy přístavby</t>
  </si>
  <si>
    <t>0,450"stávající střechy</t>
  </si>
  <si>
    <t>Přesun hmot pro konstrukce klempířské v objektech v do 12 m</t>
  </si>
  <si>
    <t>(1,000)*1"venkovní ocelová mříž</t>
  </si>
  <si>
    <t>Demontáž rámů oken pl. do 2 m2 (pro zpětné použití)</t>
  </si>
  <si>
    <t>767661811</t>
  </si>
  <si>
    <t>Demontáž a vyvěšení venkovních okenních ocel. mříží pl. do 2 m2 (pro zpětné použití)</t>
  </si>
  <si>
    <t>766629301</t>
  </si>
  <si>
    <t>611000000</t>
  </si>
  <si>
    <r>
      <t>plastové okno otvíravé+sklopné rozm. 700/1 400 mm min. U</t>
    </r>
    <r>
      <rPr>
        <i/>
        <vertAlign val="subscript"/>
        <sz val="8"/>
        <color rgb="FF0000FF"/>
        <rFont val="Trebuchet MS"/>
        <family val="2"/>
        <charset val="238"/>
      </rPr>
      <t>w</t>
    </r>
    <r>
      <rPr>
        <i/>
        <sz val="8"/>
        <color rgb="FF0000FF"/>
        <rFont val="Trebuchet MS"/>
        <family val="2"/>
        <charset val="238"/>
      </rPr>
      <t>=0,80 W/m</t>
    </r>
    <r>
      <rPr>
        <i/>
        <vertAlign val="superscript"/>
        <sz val="8"/>
        <color rgb="FF0000FF"/>
        <rFont val="Trebuchet MS"/>
        <family val="2"/>
        <charset val="238"/>
      </rPr>
      <t>2</t>
    </r>
    <r>
      <rPr>
        <i/>
        <sz val="8"/>
        <color rgb="FF0000FF"/>
        <rFont val="Trebuchet MS"/>
        <family val="2"/>
        <charset val="238"/>
      </rPr>
      <t>K, s izolačním dvojsklem min. U</t>
    </r>
    <r>
      <rPr>
        <i/>
        <vertAlign val="subscript"/>
        <sz val="8"/>
        <color rgb="FF0000FF"/>
        <rFont val="Trebuchet MS"/>
        <family val="2"/>
        <charset val="238"/>
      </rPr>
      <t>g</t>
    </r>
    <r>
      <rPr>
        <i/>
        <sz val="8"/>
        <color rgb="FF0000FF"/>
        <rFont val="Trebuchet MS"/>
        <family val="2"/>
        <charset val="238"/>
      </rPr>
      <t>=0,60 W/m</t>
    </r>
    <r>
      <rPr>
        <i/>
        <vertAlign val="superscript"/>
        <sz val="8"/>
        <color rgb="FF0000FF"/>
        <rFont val="Trebuchet MS"/>
        <family val="2"/>
        <charset val="238"/>
      </rPr>
      <t>2</t>
    </r>
    <r>
      <rPr>
        <i/>
        <sz val="8"/>
        <color rgb="FF0000FF"/>
        <rFont val="Trebuchet MS"/>
        <family val="2"/>
        <charset val="238"/>
      </rPr>
      <t>K, barva venkovní/vnitřní = bílá/bílá, (před zadáním do výroby nutno zaměřit)</t>
    </r>
  </si>
  <si>
    <t>Montáž výtahu, rozm. podle projektu, 1x nástupní + 3x výstupní stanice v dispozici podle projektu; kpl montáž včteně dveří a všech doplňků</t>
  </si>
  <si>
    <t>dodávka výtahu, rozm. podle projektu, 1x nástupní + 3x výstupní stanice v dispozici podle projektu; kpl dodávka včteně dveří a všech doplňků</t>
  </si>
  <si>
    <r>
      <t xml:space="preserve">2"okno </t>
    </r>
    <r>
      <rPr>
        <vertAlign val="subscript"/>
        <sz val="8"/>
        <color rgb="FF505050"/>
        <rFont val="Trebuchet MS"/>
        <family val="2"/>
        <charset val="238"/>
      </rPr>
      <t>O</t>
    </r>
    <r>
      <rPr>
        <sz val="8"/>
        <color rgb="FF505050"/>
        <rFont val="Trebuchet MS"/>
        <family val="2"/>
        <charset val="238"/>
      </rPr>
      <t>4 - dvojsklo</t>
    </r>
  </si>
  <si>
    <r>
      <t xml:space="preserve">2"okno </t>
    </r>
    <r>
      <rPr>
        <vertAlign val="subscript"/>
        <sz val="8"/>
        <color rgb="FF505050"/>
        <rFont val="Trebuchet MS"/>
        <family val="2"/>
        <charset val="238"/>
      </rPr>
      <t>O</t>
    </r>
    <r>
      <rPr>
        <sz val="8"/>
        <color rgb="FF505050"/>
        <rFont val="Trebuchet MS"/>
        <family val="2"/>
        <charset val="238"/>
      </rPr>
      <t>4</t>
    </r>
  </si>
  <si>
    <t>766694111</t>
  </si>
  <si>
    <t>611989991</t>
  </si>
  <si>
    <r>
      <t xml:space="preserve">(0,965*2)"pro venkovní výplně nová okna </t>
    </r>
    <r>
      <rPr>
        <vertAlign val="subscript"/>
        <sz val="8"/>
        <color rgb="FF505050"/>
        <rFont val="Trebuchet MS"/>
        <family val="2"/>
        <charset val="238"/>
      </rPr>
      <t>O</t>
    </r>
    <r>
      <rPr>
        <sz val="8"/>
        <color rgb="FF505050"/>
        <rFont val="Trebuchet MS"/>
        <family val="2"/>
        <charset val="238"/>
      </rPr>
      <t>4</t>
    </r>
  </si>
  <si>
    <t>317944314</t>
  </si>
  <si>
    <r>
      <t xml:space="preserve">(1,000*0,0144)*3"podtažení otvoru prostupu okna </t>
    </r>
    <r>
      <rPr>
        <vertAlign val="subscript"/>
        <sz val="8"/>
        <color rgb="FF505050"/>
        <rFont val="Trebuchet MS"/>
        <family val="2"/>
        <charset val="238"/>
      </rPr>
      <t>O</t>
    </r>
    <r>
      <rPr>
        <sz val="8"/>
        <color rgb="FF505050"/>
        <rFont val="Trebuchet MS"/>
        <family val="2"/>
        <charset val="238"/>
      </rPr>
      <t>4 m.č. 2.13-výstup a předsíň … 3x I 140 dl. 1 000 mm</t>
    </r>
  </si>
  <si>
    <r>
      <t xml:space="preserve">(1,540*0,0179)*3"podtažení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m.č. 2.15-výtah … 3x I 160 dl. 1 540 mm</t>
    </r>
  </si>
  <si>
    <r>
      <t xml:space="preserve">(1,540*0,0179)*3"podtažení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m.č. 1.22-výtah … 3x I 160 dl. 1 540 mm</t>
    </r>
  </si>
  <si>
    <r>
      <t xml:space="preserve">(1,540*0,0179)*2"podtažení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21 m.č. 1.22-výtah … 2x I 160 dl. 1 540 mm</t>
    </r>
  </si>
  <si>
    <r>
      <t xml:space="preserve">(1,000*0,0144)*3"podtažení otvoru prostupu okna </t>
    </r>
    <r>
      <rPr>
        <vertAlign val="subscript"/>
        <sz val="8"/>
        <color rgb="FF505050"/>
        <rFont val="Trebuchet MS"/>
        <family val="2"/>
        <charset val="238"/>
      </rPr>
      <t>O</t>
    </r>
    <r>
      <rPr>
        <sz val="8"/>
        <color rgb="FF505050"/>
        <rFont val="Trebuchet MS"/>
        <family val="2"/>
        <charset val="238"/>
      </rPr>
      <t>4 m.č. 3.15-kuchyňka … 3x I 140 dl. 1 000 mm</t>
    </r>
  </si>
  <si>
    <t>317234410</t>
  </si>
  <si>
    <t>767001999</t>
  </si>
  <si>
    <t>Dodávka a montáž válcovaných nosníků do č. 18 do připravených otvorů</t>
  </si>
  <si>
    <r>
      <t xml:space="preserve">(1,000/0,300*0,002)*0,600*2"podtažení otvoru prostupu okna </t>
    </r>
    <r>
      <rPr>
        <vertAlign val="subscript"/>
        <sz val="8"/>
        <color rgb="FF505050"/>
        <rFont val="Trebuchet MS"/>
        <family val="2"/>
        <charset val="238"/>
      </rPr>
      <t>O</t>
    </r>
    <r>
      <rPr>
        <sz val="8"/>
        <color rgb="FF505050"/>
        <rFont val="Trebuchet MS"/>
        <family val="2"/>
        <charset val="238"/>
      </rPr>
      <t>4 m.č. 3.15-kuchyňka … a´300 mm</t>
    </r>
  </si>
  <si>
    <r>
      <t xml:space="preserve">(1,000/0,300*0,002)*0,600*2"podtažení otvoru prostupu okna </t>
    </r>
    <r>
      <rPr>
        <vertAlign val="subscript"/>
        <sz val="8"/>
        <color rgb="FF505050"/>
        <rFont val="Trebuchet MS"/>
        <family val="2"/>
        <charset val="238"/>
      </rPr>
      <t>O</t>
    </r>
    <r>
      <rPr>
        <sz val="8"/>
        <color rgb="FF505050"/>
        <rFont val="Trebuchet MS"/>
        <family val="2"/>
        <charset val="238"/>
      </rPr>
      <t>4 m.č. 2.13-výstup a předsíň … a´ 300 mm</t>
    </r>
  </si>
  <si>
    <r>
      <t xml:space="preserve">(1,540/0,300*0,002)*0,600*2"podtažení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m.č. 2.15-výtah … a´300 mm</t>
    </r>
  </si>
  <si>
    <r>
      <t xml:space="preserve">(1,540/0,300*0,002)*0,600*2"podtažení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m.č. 1.22-výtah … a´300 mm</t>
    </r>
  </si>
  <si>
    <r>
      <t xml:space="preserve">(1,540/0,300*0,002)*0,300*2"podtažení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21 m.č. 1.22-výtah … a´ 300 mm</t>
    </r>
  </si>
  <si>
    <r>
      <t xml:space="preserve">(1,540*0,160*0,300)*0,750"podtažení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21 m.č. 1.22-výtah</t>
    </r>
  </si>
  <si>
    <r>
      <t xml:space="preserve">(1,540*0,160*0,600)*0,750"podtažení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m.č. 1.22-výtah</t>
    </r>
  </si>
  <si>
    <r>
      <t xml:space="preserve">(1,540*0,160*0,600)*0,750"podtažení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m.č. 2.15-výtah</t>
    </r>
  </si>
  <si>
    <r>
      <t xml:space="preserve">(1,000*0,140*0,600)*0,750"podtažení otvoru prostupu okna </t>
    </r>
    <r>
      <rPr>
        <vertAlign val="subscript"/>
        <sz val="8"/>
        <color rgb="FF505050"/>
        <rFont val="Trebuchet MS"/>
        <family val="2"/>
        <charset val="238"/>
      </rPr>
      <t>O</t>
    </r>
    <r>
      <rPr>
        <sz val="8"/>
        <color rgb="FF505050"/>
        <rFont val="Trebuchet MS"/>
        <family val="2"/>
        <charset val="238"/>
      </rPr>
      <t>4 m.č. 3.15-kuchyňka</t>
    </r>
  </si>
  <si>
    <r>
      <t xml:space="preserve">(1,000*0,140*0,600)*0,750"podtažení otvoru prostupu okna </t>
    </r>
    <r>
      <rPr>
        <vertAlign val="subscript"/>
        <sz val="8"/>
        <color rgb="FF505050"/>
        <rFont val="Trebuchet MS"/>
        <family val="2"/>
        <charset val="238"/>
      </rPr>
      <t>O</t>
    </r>
    <r>
      <rPr>
        <sz val="8"/>
        <color rgb="FF505050"/>
        <rFont val="Trebuchet MS"/>
        <family val="2"/>
        <charset val="238"/>
      </rPr>
      <t>4 m.č. 2.13-výstup a předsíň</t>
    </r>
  </si>
  <si>
    <t>346244381</t>
  </si>
  <si>
    <t>Plentování ocelových nosníků výšky do 200 mm</t>
  </si>
  <si>
    <r>
      <t xml:space="preserve">(1,540*0,160)*2"podtažení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21 m.č. 1.22-výtah</t>
    </r>
  </si>
  <si>
    <r>
      <t xml:space="preserve">(1,540*0,160)*2"podtažení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m.č. 1.22-výtah</t>
    </r>
  </si>
  <si>
    <r>
      <t xml:space="preserve">(1,540*0,160)*2"podtažení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m.č. 2.15-výtah</t>
    </r>
  </si>
  <si>
    <r>
      <t xml:space="preserve">(1,000*0,140)*2"podtažení otvoru prostupu okna </t>
    </r>
    <r>
      <rPr>
        <vertAlign val="subscript"/>
        <sz val="8"/>
        <color rgb="FF505050"/>
        <rFont val="Trebuchet MS"/>
        <family val="2"/>
        <charset val="238"/>
      </rPr>
      <t>O</t>
    </r>
    <r>
      <rPr>
        <sz val="8"/>
        <color rgb="FF505050"/>
        <rFont val="Trebuchet MS"/>
        <family val="2"/>
        <charset val="238"/>
      </rPr>
      <t>4 m.č. 2.13-výstup a předsíň</t>
    </r>
  </si>
  <si>
    <r>
      <t xml:space="preserve">(1,000*0,140)*2"podtažení otvoru prostupu okna </t>
    </r>
    <r>
      <rPr>
        <vertAlign val="subscript"/>
        <sz val="8"/>
        <color rgb="FF505050"/>
        <rFont val="Trebuchet MS"/>
        <family val="2"/>
        <charset val="238"/>
      </rPr>
      <t>O</t>
    </r>
    <r>
      <rPr>
        <sz val="8"/>
        <color rgb="FF505050"/>
        <rFont val="Trebuchet MS"/>
        <family val="2"/>
        <charset val="238"/>
      </rPr>
      <t>4 m.č. 3.15-kuchyňka</t>
    </r>
  </si>
  <si>
    <t>Dodávka + montáž L  80*80*6 profil včetně kotevní pásoviny 4/40/300 žárově zinkovaný - ukončení podlah na vnitřním líci výtahové šachty</t>
  </si>
  <si>
    <t>1,200*(2+1+1)"m.č. 1.22-výtah 2x + m.č. 2.15-výtah 1x + m.č. 3.17-výtah 1x</t>
  </si>
  <si>
    <t>Vyzdívka mezi nosníky CP na MC a vybetonování mezer betonem C25/30</t>
  </si>
  <si>
    <r>
      <t xml:space="preserve">(0,550*2)"m.č. 1.7-výstup v prostupu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z m.č. 1.22-výtah</t>
    </r>
  </si>
  <si>
    <r>
      <t xml:space="preserve">(0,500*2)"m.č. 2.13-výstup a předsíň v prostupu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z m.č. 2.15-výtah</t>
    </r>
  </si>
  <si>
    <r>
      <t xml:space="preserve">(0,500*2)"m.č. 3.16-výstup v prostupu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z m.č. 3.17-výtah</t>
    </r>
  </si>
  <si>
    <t>dlaždice keramické slinuté glazované protiskluznost min. R11/C, stejného typu jako provedení ploch např. RAKO STONES DAGSE669 rozm. 300 x 600 mm</t>
  </si>
  <si>
    <r>
      <t xml:space="preserve">(0,550*0,150)*2*1,15"m.č. 1.7-výstup v prostupu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z m.č. 1.22-výtah</t>
    </r>
  </si>
  <si>
    <r>
      <t xml:space="preserve">(0,500*0,150)*2*1,15"m.č. 2.13-výstup a předsíň v prostupu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z m.č. 2.15-výtah</t>
    </r>
  </si>
  <si>
    <r>
      <t xml:space="preserve">(0,500*0,150)*2*1,15"m.č. 3.16-výstup v prostupu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z m.č. 3.17-výtah</t>
    </r>
  </si>
  <si>
    <t>Montáž podlah keramických režných hladkých lepených flexibilním lepidlem do 25 ks/m2, spára přírodní odstín šedý</t>
  </si>
  <si>
    <t>Montáž soklíků z dlaždic keramických rovných flexibilní lepidlo v do 200 mm, soklík řezaný v. 150 mm, spára přírodní odstín šedý</t>
  </si>
  <si>
    <r>
      <t xml:space="preserve">(0,550*1,140)"m.č. 1.7-výstup v prostupu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z m.č. 1.22-výtah</t>
    </r>
  </si>
  <si>
    <r>
      <t xml:space="preserve">(0,500*1,140)"m.č. 2.13-výstup a předsíň v prostupu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z m.č. 2.15-výtah</t>
    </r>
  </si>
  <si>
    <r>
      <t xml:space="preserve">(0,300*2)"m.č. 1.22-výtah v prostupu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21 nástupní stanice</t>
    </r>
  </si>
  <si>
    <r>
      <t xml:space="preserve">(0,300*0,150)*2*1,15"m.č. 1.22-výtah v prostupu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21 nástupní stanice</t>
    </r>
  </si>
  <si>
    <t>dlaždice keramické slinuté glazované protiskluznost min. R11/C, provedení ploch např. RAKO STONES DAGSE669 rozm. 300 x 600 mm</t>
  </si>
  <si>
    <r>
      <t xml:space="preserve">(0,550*1,140)*1,10"m.č. 1.7-výstup v prostupu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z m.č. 1.22-výtah</t>
    </r>
  </si>
  <si>
    <r>
      <t xml:space="preserve">(0,500*1,140)*1,10"m.č. 2.13-výstup a předsíň v prostupu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z m.č. 2.15-výtah</t>
    </r>
  </si>
  <si>
    <r>
      <t xml:space="preserve">(0,500*1,140)*1,10"m.č. 3.16-výstup v prostupu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z m.č. 3.17-výtah</t>
    </r>
  </si>
  <si>
    <r>
      <t xml:space="preserve">(0,550*1,140)+(0,150*0,550*2)"m.č. 1.7-výstup v prostupu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z m.č. 1.22-výtah</t>
    </r>
  </si>
  <si>
    <r>
      <t xml:space="preserve">(0,500*1,140)+(0,150*0,500*2)"m.č. 2.13-výstup a předsíň v prostupu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z m.č. 2.15-výtah</t>
    </r>
  </si>
  <si>
    <r>
      <t xml:space="preserve">(0,500*1,140)+(0,150*0,500*2)"m.č. 3.16-výstup v prostupu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z m.č. 3.17-výtah</t>
    </r>
  </si>
  <si>
    <t>Přesun hmot procentní pro podlahy z dlaždic v objektech v do 12 m</t>
  </si>
  <si>
    <t>998771202</t>
  </si>
  <si>
    <t>781732020</t>
  </si>
  <si>
    <t>obkladačka / dlaždice keramické slinuté glazované protiskluznost min. R11/C, provedení ploch např. RAKO STONES DAGSE669 rozm. 300 x 600 mm</t>
  </si>
  <si>
    <t>Penetrace podkladu vnějších obkladů</t>
  </si>
  <si>
    <t>998781202</t>
  </si>
  <si>
    <t>Přesun hmot procentní pro obklady keramické v objektech v do 12 m</t>
  </si>
  <si>
    <t>771579191</t>
  </si>
  <si>
    <t>Příplatek k montáži podlah keramických režných hladkých za plochu do 5 m2</t>
  </si>
  <si>
    <t>783225100</t>
  </si>
  <si>
    <t>Nátěry syntetické kovových doplňkových konstrukcí standardní barva</t>
  </si>
  <si>
    <t>(0,074*4+0,160*2)*1,740*3"podtažení otvoru protupu m.č. 1.7-výstup</t>
  </si>
  <si>
    <r>
      <t xml:space="preserve">(0,074*4+0,160*2)*1,540*2"podtažení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21 m.č. 1.22-výtah</t>
    </r>
  </si>
  <si>
    <r>
      <t xml:space="preserve">(0,074*4+0,160*2)*1,540*3"podtažení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m.č. 1.22-výtah</t>
    </r>
  </si>
  <si>
    <r>
      <t xml:space="preserve">(0,074*4+0,160*2)*1,540*3"podtažení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m.č. 2.15-výtah</t>
    </r>
  </si>
  <si>
    <r>
      <t xml:space="preserve">(0,066*4+0,140*2)*1,000*3"podtažení otvoru prostupu okna </t>
    </r>
    <r>
      <rPr>
        <vertAlign val="subscript"/>
        <sz val="8"/>
        <color rgb="FF505050"/>
        <rFont val="Trebuchet MS"/>
        <family val="2"/>
        <charset val="238"/>
      </rPr>
      <t>O</t>
    </r>
    <r>
      <rPr>
        <sz val="8"/>
        <color rgb="FF505050"/>
        <rFont val="Trebuchet MS"/>
        <family val="2"/>
        <charset val="238"/>
      </rPr>
      <t>4 m.č. 2.13-výstup a předsíň</t>
    </r>
  </si>
  <si>
    <r>
      <t xml:space="preserve">(0,066*4+0,140*2)*1,000*3"podtažení otvoru prostupu okna </t>
    </r>
    <r>
      <rPr>
        <vertAlign val="subscript"/>
        <sz val="8"/>
        <color rgb="FF505050"/>
        <rFont val="Trebuchet MS"/>
        <family val="2"/>
        <charset val="238"/>
      </rPr>
      <t>O</t>
    </r>
    <r>
      <rPr>
        <sz val="8"/>
        <color rgb="FF505050"/>
        <rFont val="Trebuchet MS"/>
        <family val="2"/>
        <charset val="238"/>
      </rPr>
      <t>4 m.č. 3.15-kuchyňka</t>
    </r>
  </si>
  <si>
    <t>(0,080*4)*1,200*(2+1+1)"ukončovací L 80*80*6 mm podlah, m.č. 1.22-výtah 2x + m.č. 2.15-výtah 1x + m.č. 3.17-výtah 1x</t>
  </si>
  <si>
    <r>
      <t xml:space="preserve">((0,050+0,005)*2)*(1,540/0,300*0,002)*0,300*2"svlaky 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21 m.č. 1.22-výtah</t>
    </r>
  </si>
  <si>
    <r>
      <t xml:space="preserve">((0,050+0,005)*2)*(1,540/0,300*0,002)*0,600*2"podtažení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m.č. 1.22-výtah</t>
    </r>
  </si>
  <si>
    <r>
      <t xml:space="preserve">((0,050+0,005)*2)*(1,540/0,300*0,002)*0,600*2"podtažení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m.č. 2.15-výtah</t>
    </r>
  </si>
  <si>
    <r>
      <t xml:space="preserve">((0,050+0,005)*2)*(1,000/0,300*0,002)*0,600*2"podtažení otvoru prostupu okna </t>
    </r>
    <r>
      <rPr>
        <vertAlign val="subscript"/>
        <sz val="8"/>
        <color rgb="FF505050"/>
        <rFont val="Trebuchet MS"/>
        <family val="2"/>
        <charset val="238"/>
      </rPr>
      <t>O</t>
    </r>
    <r>
      <rPr>
        <sz val="8"/>
        <color rgb="FF505050"/>
        <rFont val="Trebuchet MS"/>
        <family val="2"/>
        <charset val="238"/>
      </rPr>
      <t>4 m.č. 2.13-výstup a předsíň</t>
    </r>
  </si>
  <si>
    <r>
      <t xml:space="preserve">((0,050+0,005)*2)*(1,000/0,300*0,002)*0,600*2"podtažení otvoru prostupu okna </t>
    </r>
    <r>
      <rPr>
        <vertAlign val="subscript"/>
        <sz val="8"/>
        <color rgb="FF505050"/>
        <rFont val="Trebuchet MS"/>
        <family val="2"/>
        <charset val="238"/>
      </rPr>
      <t>O</t>
    </r>
    <r>
      <rPr>
        <sz val="8"/>
        <color rgb="FF505050"/>
        <rFont val="Trebuchet MS"/>
        <family val="2"/>
        <charset val="238"/>
      </rPr>
      <t>4 m.č. 3.15-kuchyňka</t>
    </r>
  </si>
  <si>
    <t>((0,065*4+0,160*2)*12,550)*2"U 160 konstrukční pro výtah hl. nosníky</t>
  </si>
  <si>
    <t>((0,065*4+0,160*2)*2,000)*6"U 160 konstrukční pro výtah propojení nosníků</t>
  </si>
  <si>
    <r>
      <t xml:space="preserve">(0,200+0,300+0,200)*(1,140+2,180*2)*1"nástup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21</t>
    </r>
  </si>
  <si>
    <r>
      <t xml:space="preserve">(0,200+0,300+0,200)*(1,140+2,180*2)*3"výstupy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</t>
    </r>
  </si>
  <si>
    <t>346481111</t>
  </si>
  <si>
    <t>Zaplentování nosníků pletivem Rabitz</t>
  </si>
  <si>
    <t>310238411</t>
  </si>
  <si>
    <t>Zazdívka cihlami CP na MC</t>
  </si>
  <si>
    <t>((0,200*2,200)*2+(0,200*1,200))*0,350"dozdívka nosné stěny, oddělení m.č. 1.7-výstup vs. m.č. 1.5-kuchyňka</t>
  </si>
  <si>
    <t>346275119</t>
  </si>
  <si>
    <t>((0,200*2,200)*2+(0,200*1,000))*0,100"dozdívka příčky zárubně m.č. 1.8-WC</t>
  </si>
  <si>
    <t>((0,250*2,500)*2+(0,200*1,250))*0,150"dozdívka příčky zárubně m.č. 3.1-schodiště, oddělení od m.č. 3.14-chodba</t>
  </si>
  <si>
    <t>((0,200*2,200)*2+(0,200*1,300))*0,445"dozdívka nosné stěny zárubně m.č. 3.13-kancelář</t>
  </si>
  <si>
    <t>((0,300*0,100)*3,440)*3"dozdívky nosných stěn po vybourání dělících stěn</t>
  </si>
  <si>
    <t>Zazdívky z bloků porobetonových do tl. 300 mm</t>
  </si>
  <si>
    <t>(0,800*1,970)*0,300"dozdívka výplně nosné stěny, oddělení m.č. 1.7-výstup vs. m.č. 1.5-kuchyňka, mater. např. YTONG</t>
  </si>
  <si>
    <t>((0,200*2,870)*2+(0,200*1,740))*0,350"dozdívka nosné stěny m.č. 1.10-chodba spojovací</t>
  </si>
  <si>
    <t>(1,740*0,160)*2+(1,330*0,350)"m.č.1.10-chodba spojovací pro plentování ocel. I a zálivku betonem</t>
  </si>
  <si>
    <t>(1,740*0,160)*2+(1,330*0,350)"m.č.1.10-chodba spojovací pro plentování ocel. I</t>
  </si>
  <si>
    <t>((1,500*0,160)*2+(1,100*0,445))"m.č. 3.13-kancelář vs. m.č. 3.18-jednací sál pro plentování ocel. I a zálivku betonem</t>
  </si>
  <si>
    <t>(1,330*0,350)"m.č.1.10-chodba spojovací prostup</t>
  </si>
  <si>
    <t>(1,650*0,150)"m.č. 3.1-schodiště vs. m.č. 3.14-chodba prostup</t>
  </si>
  <si>
    <t>(1,100*0,445)"m.č. 3.13-kancelář vs. m.č. 3.18-jednací sál prostup</t>
  </si>
  <si>
    <t>((1,850*0,160)+(1,650*0,160)+(1,650*0,150))"m.č. 3.1-schodiště vs. m.č. 3.14-chodba pro plentování ocel. I a zálivku betonem</t>
  </si>
  <si>
    <t>(1,740*0,0179)*2"podtažení otvoru prostupu m.č. 3.16-výstup do m.č. 3.14-chodba … 2x I 160 dl. 1 740 mm</t>
  </si>
  <si>
    <r>
      <t xml:space="preserve">(1,500*0,0144)*2"podtažení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7 m.č. 3.13-kancelář do m.č. 3.18-jednací sál … 2x I 140 dl. 1 500 mm</t>
    </r>
  </si>
  <si>
    <r>
      <t xml:space="preserve">(1,850*0,0179)*2"podtažení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23 m.č. 3.1-schodiště do m.č. 3.14-chodba … 2x I 160 dl. 1 850 mm</t>
    </r>
  </si>
  <si>
    <t>(1,740*0,0179)*3"podtažení otvoru prostupu m.č. 1.7-výstup do m.č. 1.10-chodba spojovací … 3x I 160 dl. 1 740 mm</t>
  </si>
  <si>
    <t>(1,740*0,160*0,150)*0,750"podtažení otvoru prostupu m.č. 3.16-výstup do m.č. 3.14-chodba</t>
  </si>
  <si>
    <t>(1,740*0,160*0,350)*0,750"podtažení otvoru prostupu m.č. 1.7-výstup do m.č. 1.10-chodba spojovací</t>
  </si>
  <si>
    <r>
      <t xml:space="preserve">(1,850*0,160*0,340)*0,750"podtažení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23 m.č. 3.1-schodiště do m.č. 3.14-chodba</t>
    </r>
  </si>
  <si>
    <r>
      <t xml:space="preserve">(1,500*0,140*0,445)*0,750"podtažení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7 m.č. 3.13-kancelář do m.č. 3.18-jednací sál</t>
    </r>
  </si>
  <si>
    <t>(1,740*0,160)*2"podtažení otvoru prostupu m.č. 1.7-výstup do m.č. 1.10-chodba spojovací</t>
  </si>
  <si>
    <t>(1,740*0,160)*2"podtažení otvoru prostupu m.č. 3.16-výstup do m.č. 3.14-chodba</t>
  </si>
  <si>
    <r>
      <t xml:space="preserve">(1,850*0,160)*2"podtažení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23 m.č. 3.1-schodiště do m.č. 3.14-chodba</t>
    </r>
  </si>
  <si>
    <r>
      <t xml:space="preserve">(1,500*0,140)*2"podtažení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7 m.č. 3.13-kancelář do m.č. 3.18-jednací sál</t>
    </r>
  </si>
  <si>
    <t>612321626</t>
  </si>
  <si>
    <t>(0,100+0,200+1,525+0,590+0,200+1,110+0,510+0,200+3,090+1,900+0,885+0,200+0,100)*3,060"mč. 1.5-kuchyňka</t>
  </si>
  <si>
    <t>(0,750+0,350+1,700+0,500+1,140+0,500+0,580+1,700+0,380+0,350+0,380+1,800)*3,300"mč. 1.7-výstup a navazující část m.č. 1.10-chodba spojovací</t>
  </si>
  <si>
    <t>(0,930+0,765+0,600+0,335+0,930+0,300+0,600+0,800)*3,060"m.č. 1.8-WC</t>
  </si>
  <si>
    <t>(0,100+0,200+1,525+0,590+0,200+1,110+0,510+0,200+3,090+1,900+0,885+0,200+0,100)*0,100+(1,525+0,590+0,200)*1,400"mč. 1.5-kuchyňka</t>
  </si>
  <si>
    <t>(0,350+1,700+0,500+0,500+0,580+1,700+0,380+0,350)*0,150"mč. 1.7-výstup</t>
  </si>
  <si>
    <t>(0,420+0,400+0,940+0,400+2,240+0,200+1,250+2,300+0,370+0,500+0,700+0,500+0,860+0,500+1,140+0,500+0,580+0,540+0,120+0,090+0,890+0,090+0,120+0,785+1,160+0,195)*3,150"m.č. 2.13-výstup a předsíň</t>
  </si>
  <si>
    <t>(2,330+0,250+1,175+0,250+0,535+0,200+1,250+0,200+2,295+0,340+1,330+0,340+0,415+0,265+0,445+1,220+0,445+0,165)*3,440"m.č. 3.14-chodba</t>
  </si>
  <si>
    <t>(1,515+1,760+0,370+0,500+0,700+0,500+0,445)*3,440"m.č. 3.15-kuchyňka</t>
  </si>
  <si>
    <t>(0,415+0,340+1,330+0,340+0,415+0,415+0,500+1,140+0,500+0,605+1,760)*3,440"m.č. 3.16-výstup</t>
  </si>
  <si>
    <t>((1,372+0,341+1,183+0,341+0,240+0,344+1,183+0,344+1,902)+(2,440+0,148+0,100+0,148+1,885+0,030+0,775+0,030+0,185+1,220+2,365)+(0,626+0,291+1,147+0,291+4,106)+(0,882+0,341+1,156+0,341+1,224+0,341+1,156+0,341+1,224+0,341+1,156+0,341+1,224+0,341+1,156+0,341+0,772))*3,440"m.č. 3.18-jednací sál</t>
  </si>
  <si>
    <t>(0,420+0,400+0,940+0,400+2,240+0,200+1,250+2,300+0,370+0,500+0,700+0,500+0,860+0,500+1,140+0,500+0,580+0,540+0,120+0,090+0,890+0,090+0,120+0,785+1,160+0,195)*0,150"m.č. 2.13-výstup a předsíň</t>
  </si>
  <si>
    <t>(2,330+0,250+1,175+0,250+0,535+0,200+1,250+0,200+2,295+0,340+1,330+0,340+0,415+0,265+0,445+1,220+0,445+0,165)*0,150"m.č. 3.14-chodba</t>
  </si>
  <si>
    <t>(1,515+1,760+0,370+0,500+0,700+0,500+0,445)*0,150+(0,615+1,760+0,370)*1,200"m.č. 3.15-kuchyňka</t>
  </si>
  <si>
    <t>(0,415+0,340+1,330+0,340+0,415+0,415+0,500+1,140+0,500+0,605+1,760)*0,150"m.č. 3.16-výstup</t>
  </si>
  <si>
    <t>(0,100+0,200+1,525+0,590+0,200+1,110+0,510+0,200+3,090+1,900+0,885+0,200+0,100)*(3,060-0,100)-(1,525+0,590+0,200)*1,400"mč. 1.5-kuchyňka</t>
  </si>
  <si>
    <t>(0,750+0,350+1,700+0,500+1,140+0,500+0,580+1,700+0,380+0,350+0,380+1,800)*(3,300-0,150)"mč. 1.7-výstup a navazující část m.č. 1.10-chodba spojovací</t>
  </si>
  <si>
    <t>(0,420+0,400+0,940+0,400+2,240+0,200+1,250+2,300+0,370+0,500+0,700+0,500+0,860+0,500+1,140+0,500+0,580+0,540+0,120+0,090+0,890+0,090+0,120+0,785+1,160+0,195)*(3,150-0,150)"m.č. 2.13-výstup a předsíň</t>
  </si>
  <si>
    <t>(2,330+0,250+1,175+0,250+0,535+0,200+1,250+0,200+2,295+0,340+1,330+0,340+0,415+0,265+0,445+1,220+0,445+0,165)*(3,440-0,150)"m.č. 3.14-chodba</t>
  </si>
  <si>
    <t>((1,515+1,760+0,370+0,500+0,700+0,500+0,445)*3,440)-((1,515+1,760+0,370+0,500+0,700+0,500+0,445)*0,150+(0,615+1,760+0,370)*1,200)"m.č. 3.15-kuchyňka</t>
  </si>
  <si>
    <t>(0,415+0,340+1,330+0,340+0,415+0,415+0,500+1,140+0,500+0,605+1,760)*(3,440-0,150)"m.č. 3.16-výstup</t>
  </si>
  <si>
    <t>((1,372+0,341+1,183+0,341+0,240+0,344+1,183+0,344+1,902)+(2,440+0,148+0,100+0,148+1,885+0,030+0,775+0,030+0,185+1,220+2,365)+(0,626+0,291+1,147+0,291+4,106)+(0,882+0,341+1,156+0,341+1,224+0,341+1,156+0,341+1,224+0,341+1,156+0,341+1,224+0,341+1,156+0,341+0,772))*(3,440-0,150)"m.č. 3.18-jednací sál</t>
  </si>
  <si>
    <t>((1,372+0,341+1,183+0,341+0,240+0,344+1,183+0,344+1,902)+(2,440+0,148+0,100+0,148+1,885+0,030+0,775+0,030+0,185+1,220+2,365)+(0,626+0,291+1,147+0,291+4,106)+(0,882+0,341+1,156+0,341+1,224+0,341+1,156+0,341+1,224+0,341+1,156+0,341+1,224+0,341+1,156+0,341+0,772))*0,150+(0,611)"m.č. 3.18-jednací sál</t>
  </si>
  <si>
    <t>611131102</t>
  </si>
  <si>
    <t>Cementový postřik vnitřních stropů nanášený síťovitě ručně</t>
  </si>
  <si>
    <t>6,898"mč. 1.5-kuchyňka</t>
  </si>
  <si>
    <t>4,074"mč. 1.7-výstup</t>
  </si>
  <si>
    <t>1,395"m.č. 1.8-WC</t>
  </si>
  <si>
    <t>4,245"m.č. 1.10-chodba spojovací</t>
  </si>
  <si>
    <t>14,712"m.č. 2.13-výstup a předsíň</t>
  </si>
  <si>
    <t>2,406"část hl. podesty m.č. 3.1-schodiště</t>
  </si>
  <si>
    <t>(0,893+0,200+1,250+1,000)*(3,440-0,150)"část hl. podesty m.č. 3.1-schodiště</t>
  </si>
  <si>
    <t>(0,893+0,200+1,250+1,000)*0,150"část hl. podesty m.č. 3.1-schodiště</t>
  </si>
  <si>
    <t>(0,893+0,200+1,250+1,000)*3,440"část hl. podesty m.č. 3.1-schodiště</t>
  </si>
  <si>
    <t>3,122"část m.č. 3.13-kancelář</t>
  </si>
  <si>
    <t>(1,000+0,147+0,100+0,900+0,100+0,147+1,000)*(3,440-0,150)"část m.č. 3.13-kancelář</t>
  </si>
  <si>
    <t>(1,000+0,147+0,100+0,900+0,100+0,147+1,000)*0,150"část m.č. 3.13-kancelář</t>
  </si>
  <si>
    <t>(1,000+0,147+0,100+0,900+0,100+0,147+1,000)*3,440"část m.č. 3.13-kancelář</t>
  </si>
  <si>
    <t>7,503"m.č. 3.14-chodba</t>
  </si>
  <si>
    <t>2,666"m.č. 3.15-kuchyňka</t>
  </si>
  <si>
    <t>4,824"m.č. 3.16-výstup</t>
  </si>
  <si>
    <t>58,645"m.č. 3.18-jednací sál</t>
  </si>
  <si>
    <t>611100000</t>
  </si>
  <si>
    <t>Oprava podbití stropů přichycením</t>
  </si>
  <si>
    <t>611142001</t>
  </si>
  <si>
    <t>Potažení vnitřních stropů sklovláknitým pletivem vtlačeným do hmoty</t>
  </si>
  <si>
    <t>611474921</t>
  </si>
  <si>
    <t>Vápenocementová omítka štuková dvouvrstvá vnitřních stropů nanášená ručně</t>
  </si>
  <si>
    <t>610991111</t>
  </si>
  <si>
    <t>(6,000+4,000+2,000+2,000)*1"1.NP</t>
  </si>
  <si>
    <t>(4,000+4,000+3,000+2,000+2,000)*1"2.NP</t>
  </si>
  <si>
    <t>Zakrývání výplní otvorů a ostatních konstrukcí</t>
  </si>
  <si>
    <t>(4,000+4,000+2,000+3,000+2,000)*1"3.NP</t>
  </si>
  <si>
    <t>(4,000*12)*1"obecně</t>
  </si>
  <si>
    <t>(6,000+4,000+2,000+2,000)*2"1.NP</t>
  </si>
  <si>
    <t>(4,000+4,000+3,000+2,000+2,000)*2"2.NP</t>
  </si>
  <si>
    <t>(4,000+4,000+2,000+3,000+2,000)*2"3.NP</t>
  </si>
  <si>
    <t>(4,000*12)*2"obecně</t>
  </si>
  <si>
    <t>(2,590+2,675+2,590)*6"rohové objektu</t>
  </si>
  <si>
    <t>(0,700+1,400+0,700+1,400)*2*4"APU lišty aj. výplní</t>
  </si>
  <si>
    <t>(2,000+1,100+2,000+1,000)*7"APU lišty aj. výplní</t>
  </si>
  <si>
    <t>(2,000+1,100+2,000+1,000)*7"ostění</t>
  </si>
  <si>
    <t>59,500*1,100"přepočtené koeficientem množství</t>
  </si>
  <si>
    <t>1,000*2*7"parapety</t>
  </si>
  <si>
    <t>0,600*1+1,250*2+1,210*1+1,160*1+0,890*1+1,220*1+0,900*1"prahy</t>
  </si>
  <si>
    <t>25,280*1,100"přepočtené koeficientem množství</t>
  </si>
  <si>
    <t>((1,000*2,000)*2)*7"okna</t>
  </si>
  <si>
    <t>(0,600*1,970)*1+(1,250*1,970)*1+(1,210*2,340)*1+(1,160*2,300)*1+(0,890*2,190)*1+(1,250*2,300)*1+(1,220*2,290)*1+(0,900*1,970)*1"dveře</t>
  </si>
  <si>
    <t>612425931</t>
  </si>
  <si>
    <t>Vápenocementová omítka vnitřního ostění nanášená ručně</t>
  </si>
  <si>
    <t>(((0,700+1,400*2)*2)*2)*0,400"okna</t>
  </si>
  <si>
    <t>(((1,000+2,000*2)*2)*7)*0,500"okna</t>
  </si>
  <si>
    <t>612403385</t>
  </si>
  <si>
    <t>Mazanina tl do 120 mm z betonu prostého bez zvýšených nároků na prostředí tř. C 20/25</t>
  </si>
  <si>
    <t>6,898*0,100"mč. 1.5-kuchyňka</t>
  </si>
  <si>
    <t>4,074*0,100"mč. 1.7-výstup</t>
  </si>
  <si>
    <t>1,395*0,100"m.č. 1.8-WC</t>
  </si>
  <si>
    <t>4,245*0,100"m.č. 1.10-chodba spojovací</t>
  </si>
  <si>
    <t>14,712*0,100"m.č. 2.13-výstup a předsíň</t>
  </si>
  <si>
    <t>7,503*0,100"m.č. 3.14-chodba</t>
  </si>
  <si>
    <t>2,666*0,100"m.č. 3.15-kuchyňka</t>
  </si>
  <si>
    <t>4,824*0,100"m.č. 3.16-výstup</t>
  </si>
  <si>
    <t>631319176</t>
  </si>
  <si>
    <t>Příplatek k mazanině tl do 120 mm za stržení povrchu spodní vrstvy před vložením výztuže</t>
  </si>
  <si>
    <t>2,000+4,000+2,000"kpl</t>
  </si>
  <si>
    <t>(0,930+0,765+0,600+0,335+0,930+0,300+0,600+0,800)"m.č. 1.8-WC</t>
  </si>
  <si>
    <t>1"m.č. 1.8-WC</t>
  </si>
  <si>
    <t>1"m.č. 3.14-chodba</t>
  </si>
  <si>
    <t>1"m.č. 3.13-kancelář</t>
  </si>
  <si>
    <t>zárubeň ocelová typ. 900 / 1 970 mm, L</t>
  </si>
  <si>
    <t>zárubeň dřevěná obložková typ. 1 250 / 2 300 mm, L</t>
  </si>
  <si>
    <t>(0,700*2)"okna</t>
  </si>
  <si>
    <t>(1,000*7)"okna</t>
  </si>
  <si>
    <t>Hrubá výplň rýh ve stěnách do 100x50 mm maltou</t>
  </si>
  <si>
    <t>784181201</t>
  </si>
  <si>
    <t>Penetrace podkladu pod omítky nátěrem</t>
  </si>
  <si>
    <t>110,490"omítky stropů dvouvrstvé</t>
  </si>
  <si>
    <t>45,174"omítky stěn dvouvrstvé ostění</t>
  </si>
  <si>
    <t>38,298"omítky stěn jednovrstvé ploch</t>
  </si>
  <si>
    <t>110,490"kpl plocha podlah</t>
  </si>
  <si>
    <t>(((0,700*1,400)*2)*2)*0,500"okna</t>
  </si>
  <si>
    <t>(((1,000*2,000)*2)*7)*0,500"okna</t>
  </si>
  <si>
    <t>974031667</t>
  </si>
  <si>
    <t>Vysekání rýh ve zdivu cihelném pro vtahování nosníků hl do 250 mm v do 250 mm</t>
  </si>
  <si>
    <t>(1,740*3)"podtažení otvoru prostupu m.č. 1.7-výstup do m.č. 1.10-chodba spojovací … 3x I 160 dl. 1 740 mm</t>
  </si>
  <si>
    <t>(1,740*2)"podtažení otvoru prostupu m.č. 3.16-výstup do m.č. 3.14-chodba … 2x I 160 dl. 1 740 mm</t>
  </si>
  <si>
    <r>
      <t xml:space="preserve">(1,850*2)"podtažení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23 m.č. 3.1-schodiště do m.č. 3.14-chodba … 2x I 160 dl. 1 850 mm</t>
    </r>
  </si>
  <si>
    <r>
      <t xml:space="preserve">(1,500*2)"podtažení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7 m.č. 3.13-kancelář do m.č. 3.18-jednací sál … 2x I 140 dl. 1 500 mm</t>
    </r>
  </si>
  <si>
    <t>(3*2)"podtažení otvoru prostupu m.č. 1.7-výstup do m.č. 1.10-chodba spojovací</t>
  </si>
  <si>
    <t>(2*2)"podtažení otvoru prostupu m.č. 3.16-výstup do m.č. 3.14-chodba</t>
  </si>
  <si>
    <r>
      <t xml:space="preserve">(2*2)"podtažení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23 m.č. 3.1-schodiště do m.č. 3.14-chodba</t>
    </r>
  </si>
  <si>
    <r>
      <t xml:space="preserve">(2*2)"podtažení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7 m.č. 3.13-kancelář do m.č. 3.18-jednací sál</t>
    </r>
  </si>
  <si>
    <t>Montáž ochranné sítě lešení z umělých vláken</t>
  </si>
  <si>
    <t>944944011</t>
  </si>
  <si>
    <t>944944081</t>
  </si>
  <si>
    <t>Demontáž ochranné sítě lešení z umělých vláken</t>
  </si>
  <si>
    <t>978012191</t>
  </si>
  <si>
    <t>Otlučení vnitřní vápenné nebo vápenocementové omítky stropů v rozsahu do 100 %</t>
  </si>
  <si>
    <t>762522811</t>
  </si>
  <si>
    <t>Demontáž podlah s polštáři z prken tl. do 32 mm vč. podkladního násypu do tl. 150 mm</t>
  </si>
  <si>
    <t>(1,000+0,147+0,100+0,900+0,100+0,147+1,000)*2,500"část m.č. 3.13-kancelář</t>
  </si>
  <si>
    <t>(0,420+0,400+0,940+0,400+2,240+0,200+1,250+2,300+0,370+0,500+0,700+0,500+0,860+0,500+1,140+0,500+0,580+0,540+0,120+0,090+0,890+0,090+0,120+0,785+1,160+0,195)*1,900"m.č. 2.13-výstup a předsíň</t>
  </si>
  <si>
    <t>965082933</t>
  </si>
  <si>
    <t>Odstranění násypu pod podlahami tl. do 200 mm</t>
  </si>
  <si>
    <t>(3,440*5)"pro zavázaní zdiva</t>
  </si>
  <si>
    <t>30,000"pro ZTi po demontáži zařízení a rozvodů</t>
  </si>
  <si>
    <t>4,000+5,880+9,950+5,880+4,120+2*2,000+1,760+2,000+0,340+2,000"pro UT</t>
  </si>
  <si>
    <t>40,000*4"pro Ei</t>
  </si>
  <si>
    <t>15"pro VZT</t>
  </si>
  <si>
    <t>6"pro ZTi</t>
  </si>
  <si>
    <t>8"pro UT</t>
  </si>
  <si>
    <t>10*6"pro Ei</t>
  </si>
  <si>
    <t>20,000"pro zavázaní zdiva</t>
  </si>
  <si>
    <t>3,440*5"pro zavázaní zdiva</t>
  </si>
  <si>
    <t>Vyvěšení dřevěných dveřních křídel pl. do 2 m2</t>
  </si>
  <si>
    <t>968072455</t>
  </si>
  <si>
    <t>Vybourání kovových dveřních zárubní pl. do 2 m2</t>
  </si>
  <si>
    <t>968061155</t>
  </si>
  <si>
    <t>Vybourání dřevěných dveřních zárubní pl. do 2 m2</t>
  </si>
  <si>
    <t>2"kpl</t>
  </si>
  <si>
    <t>611815140</t>
  </si>
  <si>
    <t>766670011</t>
  </si>
  <si>
    <t>Montáž dřevěných obložkových zárubní dodatečné pl do 2,5 m2</t>
  </si>
  <si>
    <t>Odsekání keramických obkladů stěn</t>
  </si>
  <si>
    <t>978059521</t>
  </si>
  <si>
    <t>Bourání dlažeb keramických</t>
  </si>
  <si>
    <t>965081713</t>
  </si>
  <si>
    <t>965081702</t>
  </si>
  <si>
    <t>Bourání soklíků z dlažeb keramických</t>
  </si>
  <si>
    <t>965042141</t>
  </si>
  <si>
    <t>Bourání mazanin betonových ručně</t>
  </si>
  <si>
    <t>6,898*0,120"mč. 1.5-kuchyňka</t>
  </si>
  <si>
    <t>4,074*0,120"mč. 1.7-výstup</t>
  </si>
  <si>
    <t>1,395*0,120"m.č. 1.8-WC</t>
  </si>
  <si>
    <t>14,712*0,120"m.č. 2.13-výstup a předsíň</t>
  </si>
  <si>
    <t>7,503*0,120"m.č. 3.14-chodba</t>
  </si>
  <si>
    <t>2,666*0,120"m.č. 3.15-kuchyňka</t>
  </si>
  <si>
    <t>4,824*0,120"m.č. 3.16-výstup</t>
  </si>
  <si>
    <t>(0,100+0,200+1,525+0,590+0,200+1,110+0,510+0,200+3,090+1,900+0,885+0,200+0,100)*0,100"mč. 1.5-kuchyňka</t>
  </si>
  <si>
    <t>(1,515+1,760+0,370+0,500+0,700+0,500+0,445)*2,150"m.č. 3.15-kuchyňka</t>
  </si>
  <si>
    <t>(0,415+0,340+1,330+0,340+0,415+0,415+0,500+1,140+0,500+0,605+1,760)*2,150"m.č. 3.16-výstup</t>
  </si>
  <si>
    <t>(1,220+2,365)*1,600"m.č. 3.18-jednací sál</t>
  </si>
  <si>
    <t>962032231</t>
  </si>
  <si>
    <t>Bourání zdiva z cihel pálených na MVC</t>
  </si>
  <si>
    <t>(1,150*3,060*0,100)"m.č. 1.8-WC</t>
  </si>
  <si>
    <t>(1,110*3,060*0,150)"m.č. 1.5-kuchyňka</t>
  </si>
  <si>
    <t>(1,330*2,670*0,350)"m.č. 1.7-výstup</t>
  </si>
  <si>
    <t>(1,760*1,000*0,100)"m.č. 3.15-kuchyňka</t>
  </si>
  <si>
    <t>(1,330*2,800*0,340)"m.č. 3.16-výstup</t>
  </si>
  <si>
    <t>(1,650*3,440*0,150)"m.č. 3.14-chodba</t>
  </si>
  <si>
    <t>(1,100*2,020*0,445)"m.č. 3.13-kancelář</t>
  </si>
  <si>
    <t>(5,020*3,440*0,100)+(5,880*3,440*0,100)"m.č. 3.18-jednací sál</t>
  </si>
  <si>
    <t>(1,140*2,180*0,700)"m.č. 1.7-výstup</t>
  </si>
  <si>
    <t>(1,140*2,180*0,600)+(0,700*1,400*0,600)"m.č. 2.13-výstup a předsíň</t>
  </si>
  <si>
    <t>((21,90/1000)*2,500)*4"I 180 konstrukční pro výtah propojení nosníků</t>
  </si>
  <si>
    <t>0,916*1,100"I 180 + U 160 s přepočtením koeficientem</t>
  </si>
  <si>
    <t>((0,180*2+0,082*4)*2,500)*4"I 180 konstrukční pro výtah propojení nosníků</t>
  </si>
  <si>
    <t>Montáž jedné vrstvy tepelné izolace do podlah</t>
  </si>
  <si>
    <t>58,645*2"m.č. 3.18-jednací sál*2vrstvy</t>
  </si>
  <si>
    <t>deska minerální izolační podlahová, např. ISOVER T-N 600 x 1 200 mm tl. 30 mm</t>
  </si>
  <si>
    <t>117,290*1,10"mč.3.18-jednací sál přepočtené koeficientem množství</t>
  </si>
  <si>
    <t>635211222</t>
  </si>
  <si>
    <t>Násyp tl. 100 mm tepelné izolační a vyrovnávací vrstvy do podlah např. LIAPOR fr. 1-4 mm, KERAMZIT</t>
  </si>
  <si>
    <t>764042421</t>
  </si>
  <si>
    <t>58,645*1,25"m.č. 3.18-jednací sál*koeficient na "shybky" obalení resp. lemování trámů</t>
  </si>
  <si>
    <t>283292770</t>
  </si>
  <si>
    <t>folie separační PE tl. 0,2mm</t>
  </si>
  <si>
    <t>58,645*1,25*1,10"m.č. 3.18-jednací sál*koeficient na "shybky" obalení resp. lemování trámů*koeficient na přepočtené množství</t>
  </si>
  <si>
    <t>textilie separační 120 g/m2 např. FILTEK V</t>
  </si>
  <si>
    <t>711469171</t>
  </si>
  <si>
    <t>Montáž separační oddělovací vrstvy textilie pod tepelnou izolaci násypem uchycení sponami</t>
  </si>
  <si>
    <t>Montáž separační oddělovací vrstvy PVC, PE, pod tepelnou izolaci násypem uchycení sponamí</t>
  </si>
  <si>
    <t>693661981</t>
  </si>
  <si>
    <t>Demontáž klozetů splachovací s nádrží</t>
  </si>
  <si>
    <t>Demontáž umyvadel bez výtokových armatur</t>
  </si>
  <si>
    <t>Demontáž ocelové vany bez výtokových armatur</t>
  </si>
  <si>
    <t>Demontáž dřez jednoduchý vestavěný v kuchyňských sestavách bez výtokových armatur</t>
  </si>
  <si>
    <t>Demontáž ohřívač elektrický tlakový do 200 litrů</t>
  </si>
  <si>
    <t>Demontáž kotlů plynových do 45kW</t>
  </si>
  <si>
    <t>Demontáž ventilů výtokových nástěnných</t>
  </si>
  <si>
    <t>Demontáž uzávěrů zápachu jednoduchých</t>
  </si>
  <si>
    <t xml:space="preserve">Přesun hmot pro vnitřní kanalizaci, výšky do 12 m </t>
  </si>
  <si>
    <t xml:space="preserve">Přesun hmot pro zařizovací předměty, výšky do 12 m </t>
  </si>
  <si>
    <t>Demontáž ostatních armatur a doplňujících materiálů</t>
  </si>
  <si>
    <t>722110311</t>
  </si>
  <si>
    <t xml:space="preserve">Přesun hmot pro vnitřní vodovod, výšky do 12 m </t>
  </si>
  <si>
    <t>Demontáž ostatních armatur a doplňujících materiálů (vnitřní vodovod)</t>
  </si>
  <si>
    <t>Demontáž potrubí HT vč. provedení zaslepení</t>
  </si>
  <si>
    <t>Demontáž potrubí PP/ocel. vč. provedení zaslepení</t>
  </si>
  <si>
    <t>72110211</t>
  </si>
  <si>
    <t>Hrubá výplň ve stěnách do 50x70 mm maltou ze SMS</t>
  </si>
  <si>
    <t>Demontáž ostatních armatur a doplňujících materiálů (vnitřní kanalizace)</t>
  </si>
  <si>
    <t>1"klozet WC m.č. 3.15-kuchyňka a m.č. 3.16-výstup</t>
  </si>
  <si>
    <t>1"umyvadlo m.č. 3.15-kuchyňka a m.č. 3.16-výstup</t>
  </si>
  <si>
    <t>1"ocelová vana do dl. 1 800 mm m.č. 3.15-kuchyňka a m.č. 3.16-výstup</t>
  </si>
  <si>
    <t>1"bojler m.č. 3.15-kuchyňka a m.č. 3.16-výstup</t>
  </si>
  <si>
    <t>1"dřez m.č. 3.18-jednací sál</t>
  </si>
  <si>
    <t>1"kpl ZTi m.č. 3.15-kuchyňka a m.č. 3.16-výstup a m.č. 3.18-jednací sál</t>
  </si>
  <si>
    <t>1+1+1"1x umyvadlo+1x vana+1x dřez m.č. 3.15-kuchyňka a m.č. 3.16-výstup a m.č. 3.18-jednací sál</t>
  </si>
  <si>
    <t>24"vodoinstalace PP/ocel m.č. 3.15-kuchyňka a m.č. 3.16-výstup a m.č. 3.18-jednací sál</t>
  </si>
  <si>
    <t>24,000"vodoinstalace PP/ocel m.č. 3.15-kuchyňka a m.č. 3.16-výstup a m.č. 3.18-jednací sál</t>
  </si>
  <si>
    <t>15,000"odpady HT m.č. 3.15-kuchyňka a m.č. 3.16-výstup a m.č. 3.18-jednací sál</t>
  </si>
  <si>
    <t>(0,500+1,161+0,500+3,223)+(0,250+0,448+0,500)+(0,500+0,636+0,250)+(0,177+0,354+0,588+0,582+0,250)"odpady m.č. 1.5-kuchyňka a m.č. 1.7-výstup a m.č. 1.8-WC a m.č. 1.9-technická místnost</t>
  </si>
  <si>
    <t>2,000"odpady HT m.č. 3.15-kuchyňka a m.č. 3.16-výstup a m.č. 3.18-jednací sál</t>
  </si>
  <si>
    <t>Vybourání otvorů zdi betonové pl. 0,09 m2, do tl. 300 mm, vnitřní ZTi</t>
  </si>
  <si>
    <t>(3,000+4,000)"odpady a vodoinstalace m.č. 1.5-kuchyňka a m.č. 1.7-výstup a m.č. 1.8-WC a m.č. 1.9-technická místnost</t>
  </si>
  <si>
    <t>(0,125+1,105+0,900+1,850+0,500+0,125+3,250+2,000+2,000+0,350+2,000+0,680+0,190)"vodoinstalace PP m.č. 1.5-kuchyňka a m.č. 1.7-výstup a m.č. 1.8-WC a m.č. 1.9-technická místnost</t>
  </si>
  <si>
    <t>1,242"bourací práce vnitřních ZTi</t>
  </si>
  <si>
    <t>1,242*5"bourací práce vnitřních ZTi</t>
  </si>
  <si>
    <t>1,242*19"bourací práce vnitřních ZTi</t>
  </si>
  <si>
    <t>Přesun hmot pro vnitřní kanalizaci, výšky do 12 m</t>
  </si>
  <si>
    <t>721174043</t>
  </si>
  <si>
    <t>Montáž a dodávka potrubí kanalizační z PP odpadní systém HT DN 50</t>
  </si>
  <si>
    <t>(0,500)+(0,500)"odpady m.č. 1.5-kuchyňka a m.č. 1.8-WC</t>
  </si>
  <si>
    <t>Montáž a dodávka potrubí kanalizační z PP odpadní systém HT DN 70</t>
  </si>
  <si>
    <t>721174044</t>
  </si>
  <si>
    <t>(1,161+0,500+3,223)+(0,250+0,448)"odpady m.č. 1.5-kuchyňka a m.č. 1.8-WC</t>
  </si>
  <si>
    <t>721174025</t>
  </si>
  <si>
    <t>Montáž a dodávka potrubí kanalizační z PP odpadní systém HT DN 100</t>
  </si>
  <si>
    <t>(0,500+0,636+0,250)"odpady m.č. 1.8-WC</t>
  </si>
  <si>
    <t>Montáž a dodávka potrubí kanalizační z PP odpadní systém HT DN 125</t>
  </si>
  <si>
    <t>721174026</t>
  </si>
  <si>
    <t>(0,177+0,354+0,588+0,582+0,250)"odpady m.č. 1.8-WC a m.č. 1.9-technická místnost</t>
  </si>
  <si>
    <t>Montáž a dodávka odbočky kanalizační z PP odpadní systém HT 110/75</t>
  </si>
  <si>
    <t>721174037</t>
  </si>
  <si>
    <t>(1,000)"odpady m.č. 1.8-WC</t>
  </si>
  <si>
    <t>Montáž a dodávka odbočky kanalizační z PP odpadní systém HT 125/110</t>
  </si>
  <si>
    <t>Montáž a dodávka odbočky kanalizační z PP odpadní systém HT 150/125</t>
  </si>
  <si>
    <t>(1,000)"odpady m.č. 1.9-technická místnost</t>
  </si>
  <si>
    <t>721174038</t>
  </si>
  <si>
    <t>721174039</t>
  </si>
  <si>
    <t>Montáž a dodávka koleno kanalizační z PP odpadní systém HT 90° pr. 50</t>
  </si>
  <si>
    <t>721174054</t>
  </si>
  <si>
    <t>(1,000+1,000)"odpady m.č. 1.5-kuchyňka a m.č. 1.8-WC</t>
  </si>
  <si>
    <t>721174056</t>
  </si>
  <si>
    <t>Montáž a dodávka koleno kanalizační z PP odpadní systém HT 90° pr. 110</t>
  </si>
  <si>
    <t>721174062</t>
  </si>
  <si>
    <t>Montáž a dodávka koleno kanalizační z PP odpadní systém HT 45° pr. 75</t>
  </si>
  <si>
    <t>(1,000+1,000+1,000)"odpady m.č. 1.5-kuchyňka a m.č. 1.8-WC</t>
  </si>
  <si>
    <t>721174063</t>
  </si>
  <si>
    <t>Montáž a dodávka koleno kanalizační z PP odpadní systém HT 45° pr. 110</t>
  </si>
  <si>
    <t>721174064</t>
  </si>
  <si>
    <t>Montáž a dodávka koleno kanalizační z PP odpadní systém HT 45° pr. 125</t>
  </si>
  <si>
    <t>(1,000+1,000+1,000)"odpady m.č. 1.9-technická místnost</t>
  </si>
  <si>
    <t>Montáž a dodávka redukce kanalizační z PP odpadní systém HT 75/50</t>
  </si>
  <si>
    <t>Montáž a dodávka redukce kanalizační z PP odpadní systém HT 110/75</t>
  </si>
  <si>
    <t>Montáž a dodávka redukce kanalizační z PP odpadní systém HT 125/110</t>
  </si>
  <si>
    <t>721174019</t>
  </si>
  <si>
    <t>Kotvící materiál (objímky, lišty …)</t>
  </si>
  <si>
    <t>(1,000)"odpady m.č. 1.5-kuchyňka a m.č. 1.7-výstup a m.č. 1.8-WC a m.č. 1.9-technická místnost</t>
  </si>
  <si>
    <t>721174077</t>
  </si>
  <si>
    <t>721174078</t>
  </si>
  <si>
    <t>721174079</t>
  </si>
  <si>
    <t>Montáž a dodávka potrubí plastové z PP 20 vodovodní systém</t>
  </si>
  <si>
    <t>Montáž a dodávka potrubí plastové z PP 25 vodovodní systém</t>
  </si>
  <si>
    <t>Demontáž baterie nástěnné</t>
  </si>
  <si>
    <t>(0,125+1,105)*2"vodoinstalace PP m.č. 1.9-technická místnost</t>
  </si>
  <si>
    <t>(0,900+1,850+0,500+0,125+3,250+2,000+2,000+0,350+2,000+0,680+0,190)*2"vodoinstalace PP m.č. 1.5-kuchyňka a m.č. 1.7-výstup a m.č. 1.8-WC a m.č. 1.9-technická místnost</t>
  </si>
  <si>
    <t>Montáž a dodávka roháček 1/2" vodovodní systém</t>
  </si>
  <si>
    <t>Montáž a dodávka nástěnka 1/2" vodovodní systém</t>
  </si>
  <si>
    <t>(1,000)"vodoinstalace m.č. 1.5-kuchyňka a m.č. 1.7-výstup a m.č. 1.8-WC a m.č. 1.9-technická místnost</t>
  </si>
  <si>
    <t>(4,000)*2"vodoinstalace m.č. 1.5-kuchyňka a m.č. 1.7-výstup a m.č. 1.8-WC a m.č. 1.9-technická místnost</t>
  </si>
  <si>
    <t>T kusy, kolena, redukce, spojky</t>
  </si>
  <si>
    <t>(1,000)"vodoinstalace m.č. 1.8-WC</t>
  </si>
  <si>
    <t>Montáž a dodávka umyvadlo keramické s otvorem pro baterii</t>
  </si>
  <si>
    <t>Montáž a dodávka keramická závěsná záchodová mísa se zabudovanou nádržkou</t>
  </si>
  <si>
    <t>Montáž a dodávka baterie stojánková jednopáková dřezová</t>
  </si>
  <si>
    <t>(1,000)"vodoinstalace m.č. 1.5-kuchyňka</t>
  </si>
  <si>
    <t>Montáž a dodávka baterie stojánková umyvadlová jednopáková</t>
  </si>
  <si>
    <t>(1,809+2,500+1,720+2,500+0,665+1,400)"plynoinstalace m.č. 1.5-kuchyňka a m.č. 1.7-výstup a m.č. 1.8-WC a m.č. 1.9-technická místnost</t>
  </si>
  <si>
    <t>Demontáž potrubí ocelové trubky bezešvé spojované svařováním DN32</t>
  </si>
  <si>
    <t>(1,809+1,720+0,665+1,400)"plynoinstalace m.č. 1.5-kuchyňka a m.č. 1.7-výstup a m.č. 1.8-WC a m.č. 1.9-technická místnost</t>
  </si>
  <si>
    <t>(4,000)"plynoinstalace m.č. 1.5-kuchyňka a m.č. 1.7-výstup a m.č. 1.8-WC a m.č. 1.9-technická místnost</t>
  </si>
  <si>
    <t>(2,000+1,760)"plynoinstalace m.č. 3.16-výstup</t>
  </si>
  <si>
    <t>Demontáž ohřívač elektrický průtokový do 15 litrů</t>
  </si>
  <si>
    <t>1"průtokový el. ohřívač m.č. 3.18-jednací místnost</t>
  </si>
  <si>
    <t>(1)"plynoinstalace m.č. 3.18-jednací sál</t>
  </si>
  <si>
    <t>Demontáž plynový sporák</t>
  </si>
  <si>
    <t>722842948</t>
  </si>
  <si>
    <t>722841677</t>
  </si>
  <si>
    <t>722836593</t>
  </si>
  <si>
    <t>722837864</t>
  </si>
  <si>
    <t>722845490</t>
  </si>
  <si>
    <t>722850574</t>
  </si>
  <si>
    <t>723110811</t>
  </si>
  <si>
    <t>723210821</t>
  </si>
  <si>
    <t>723240805</t>
  </si>
  <si>
    <t>723310823</t>
  </si>
  <si>
    <t>723530823</t>
  </si>
  <si>
    <t>723530821</t>
  </si>
  <si>
    <t>723810811</t>
  </si>
  <si>
    <t>723840850</t>
  </si>
  <si>
    <t>723860811</t>
  </si>
  <si>
    <t>723850577</t>
  </si>
  <si>
    <t>723850587</t>
  </si>
  <si>
    <t>723823883</t>
  </si>
  <si>
    <t>723826425</t>
  </si>
  <si>
    <t>(0,500)+(0,500)"odpady HT DN 50 m.č. 1.5-kuchyňka a m.č. 1.8-WC</t>
  </si>
  <si>
    <t>(1,161+0,500+3,223)+(0,250+0,448)"odpady HT DN 75 m.č. 1.5-kuchyňka a m.č. 1.8-WC</t>
  </si>
  <si>
    <t>(0,500+0,636+0,250)"odpady HT DN 110 m.č. 1.8-WC</t>
  </si>
  <si>
    <t>(0,177+0,354+0,588+0,582+0,250)"odpady HT DN 125 m.č. 1.8-WC a m.č. 1.9-technická místnost</t>
  </si>
  <si>
    <t>Přesun pro kotelny do 12 m</t>
  </si>
  <si>
    <t xml:space="preserve">Přesun hmot pro plynoinstalaci, výšky do 12 m </t>
  </si>
  <si>
    <t>(2,500+0,157+1,386+0,172+0,196+2,500+0,139)*2"potrubí UT shybka m.č. 1.7-výstup a m.č. 1.8-WC</t>
  </si>
  <si>
    <t>(1,000+1,000+1,000+1,000+1,000+1,000)*2"potrubí UT shybka m.č. 1.7-výstup a m.č. 1.8-WC</t>
  </si>
  <si>
    <t>(1,000+1,000)*2"potrubí UT shybka m.č. 1.7-výstup a m.č. 1.8-WC</t>
  </si>
  <si>
    <t>(0,610+9,775+9,860+6,325+0,246+0,250*3+0,090*8)*2"potrubí UT m.č. 3.13-kancelář a m.č. 3.16-výstup a m.č. 3.18-jednací sál</t>
  </si>
  <si>
    <t>(1,000+1,000+1,000+1,000+1,000)*2"potrubí UT m.č. 3.13-kancelář a m.č. 3.16-výstup a m.č. 3.18-jednací sál</t>
  </si>
  <si>
    <t>(1,000+1,000)*2"potrubí UT m.č. 3.13-kancelář a m.č. 3.16-výstup a m.č. 3.18-jednací sál</t>
  </si>
  <si>
    <t>Přesun pro potrubí UT do 12 m</t>
  </si>
  <si>
    <t>733222101</t>
  </si>
  <si>
    <t>(1,000)"plynoinstalace m.č. 3.16-výstup</t>
  </si>
  <si>
    <t>(0,157+1,386+0,172+0,196+0,139)*2"potrubí UT m.č. 1.7-výstup a m.č. 1.8-WC</t>
  </si>
  <si>
    <t>(0,610+9,775+9,860+6,325+0,090*5)*2"potrubí UT m.č. 3.13-kancelář a m.č. 3.16-výstup a m.č. 3.18-jednací sál</t>
  </si>
  <si>
    <t>(1,000)*8"potrubí UT m.č. 3.13-kancelář a m.č. 3.16-výstup a m.č. 3.18-jednací sál</t>
  </si>
  <si>
    <t>Přesun pro armatury do 12 m</t>
  </si>
  <si>
    <t>(1,000)*7"otopná tělesa UT m.č. 3.18-jednací sál</t>
  </si>
  <si>
    <t>Demontáž těles deskových jednořadých a dvouřadých do 1140 mm</t>
  </si>
  <si>
    <t>(1,000)*7"otopná tělesa UT m.č. 3.16-výstup a m.č. 3.18-jednací sál</t>
  </si>
  <si>
    <t>(1,000)"otopná tělesa UT m.č. 3.16-výstup</t>
  </si>
  <si>
    <t>Příplatek za zednické výpomoce k osazení otopných těles</t>
  </si>
  <si>
    <t>Deskové těleso, spodní připojení 22-600/1 000/102 vč. příslušenství, termohlavice</t>
  </si>
  <si>
    <t>(1,000)*7"otopná tělesa UT m.č. 3.18-jednací sál, např. RADIK LINE VKL / VK KORADO typ 22, 600/1 000/102 mm, 1 631 W</t>
  </si>
  <si>
    <t>Montáž těles deskových dvouřadých do 2500 mm</t>
  </si>
  <si>
    <t>Montáž těles deskových dvouřadých vertikal do 2500 mm</t>
  </si>
  <si>
    <t>(1,000)"otopná tělesa UT m.č. 1.8-WC</t>
  </si>
  <si>
    <t>Deskové těleso, spodní připojení 22-900/1 400/102 vč. příslušenství, termohlavice</t>
  </si>
  <si>
    <t>(1,000)"otopná tělesa UT m.č. 3.16-výstup, např. RADIK LINE VKL / VK KORADO typ 22, 900/1 400/102 mm, 3 140 W</t>
  </si>
  <si>
    <t>(1,000)"otopná tělesa UT m.č. 1.8-WC, např. KORATHERM VERTIKAL-M typ 20, 144/2 000/72 mm, 478 W</t>
  </si>
  <si>
    <t>Deskové těleso vertikální, spodní středové připojení 20-144/2 000/72 vč. příslušenství, termohlavice</t>
  </si>
  <si>
    <t>Přesun pro tělesa do 12 m</t>
  </si>
  <si>
    <t>INT 01 - Interiér a mobilní vybavení</t>
  </si>
  <si>
    <t>INT 01</t>
  </si>
  <si>
    <t>Interiér a mobilní vybavení umístěná v objektu stavby občanského vybavení č.p. 600</t>
  </si>
  <si>
    <t>výrobní štítek</t>
  </si>
  <si>
    <t>kabel CYKY-J 4x 10 mm2</t>
  </si>
  <si>
    <t>(1,000)"kpl</t>
  </si>
  <si>
    <t>(26,000)"hod</t>
  </si>
  <si>
    <t>(16,000)"rozvody</t>
  </si>
  <si>
    <t>(19,000)"rozvody</t>
  </si>
  <si>
    <t>(18,000)"rozvody</t>
  </si>
  <si>
    <t>(274,000)"rozvody</t>
  </si>
  <si>
    <t>(182,000)"rozvody</t>
  </si>
  <si>
    <t>(61,000)"rozvody</t>
  </si>
  <si>
    <t>(8,000)"rozvody</t>
  </si>
  <si>
    <t>(20,000)"rozvody</t>
  </si>
  <si>
    <t>svorka ochranného pospojování</t>
  </si>
  <si>
    <t>koaxiální kabel 75 Ohmů</t>
  </si>
  <si>
    <t>kabel UTP, Cat 5e</t>
  </si>
  <si>
    <t>svítidlo nástěnné nouzové LED, např. LED NOUZOVÉ OSVĚTLENÍ CESSI, 3 W, 3 h, 230 V, 5 000 K, 30 lm, IP20, 50/60 Hz, rozm. 315x223x45 mm</t>
  </si>
  <si>
    <t>svítidlo stropní LED s pohybovým čidlem, např. BRILONER LED PIATTO, SENZOR, 38 W, 230 V, 4 000 K, 4 100 lm, IP20, rozm. 595x595x49 mm</t>
  </si>
  <si>
    <t>svítidlo podlinkové LED, např. LEDVANCE CABINET SLIM, 18 W, 230 V, 3 000 K, 980 lm, IP20, rozm. 500x38x8 mm</t>
  </si>
  <si>
    <t>svítidlo závěsné LED, např. LEDVANCE SUN@HOME CHYTRÉ ZÁVĚSNÉ WiFi SVÍTIDLO WORKSPACE, 50 W, 230 V, 5 000 K, 4 200 lm, IP20, rozm. 1 206x75x62 mm</t>
  </si>
  <si>
    <t>přeložka - shybka</t>
  </si>
  <si>
    <t>749-2.R19</t>
  </si>
  <si>
    <t>749-2.R20</t>
  </si>
  <si>
    <t>krabice odbočná pod omítku KR 97 s časovým spínačem ventilátoru (zpožděný rozběh + doběh)</t>
  </si>
  <si>
    <t>749-2.R21</t>
  </si>
  <si>
    <r>
      <t>ventilátor stěnový se zpětnou klapkou</t>
    </r>
    <r>
      <rPr>
        <sz val="8"/>
        <color rgb="FF0000FF"/>
        <rFont val="Calibri"/>
        <family val="2"/>
        <charset val="238"/>
      </rPr>
      <t>,</t>
    </r>
    <r>
      <rPr>
        <sz val="8"/>
        <color rgb="FF0000FF"/>
        <rFont val="Trebuchet MS"/>
        <family val="2"/>
        <charset val="238"/>
      </rPr>
      <t xml:space="preserve"> např. DALAP 100 LVZ, 230 V, ø 100 mm</t>
    </r>
  </si>
  <si>
    <t>749-2.R22</t>
  </si>
  <si>
    <t>749-2.R23</t>
  </si>
  <si>
    <t>749-2.R24</t>
  </si>
  <si>
    <t>749-2.R25</t>
  </si>
  <si>
    <t>144,000"rozvody</t>
  </si>
  <si>
    <t>94,000"rozvody</t>
  </si>
  <si>
    <t>20,000"rozvody</t>
  </si>
  <si>
    <t>72,000"rozvody</t>
  </si>
  <si>
    <t>(1,000)"ks m.č. 1.8-WC</t>
  </si>
  <si>
    <t>(1,000+1,000+1,000+2,000)"ks m.č. 3.14-chodba + m.č. 3.15-kuchyňka + m.č. 3.16-výstup + mč.c. 3.18-jednací sál</t>
  </si>
  <si>
    <t>(3,000)"ks m.č. 2.13-výstup a předsíň</t>
  </si>
  <si>
    <t>1,000"kpl m.č. 3.16-výstup</t>
  </si>
  <si>
    <t>1,000"kpl m.č. 2.13-výstup a předsíň</t>
  </si>
  <si>
    <t>(1,000+1,000)"kpl m.č. 1.7-výstup + m.č. 1.10-chodba spojovací</t>
  </si>
  <si>
    <t>6,000"ks m.č. 3.18-jednací sál</t>
  </si>
  <si>
    <t>1,000"ks m.č. 3.14-chodba</t>
  </si>
  <si>
    <t>1,000"ks m.č. 2.13-výstup a předsíň</t>
  </si>
  <si>
    <t>1,000"ks m.č. 1.7-výstup</t>
  </si>
  <si>
    <t>14,000"ks m.č. 3.18-jednací sál</t>
  </si>
  <si>
    <t>1,000"ks m.č. 3.15-kuchyňka</t>
  </si>
  <si>
    <t>(1,000+1,000+1,000)"ks m.č. 3.14-chodba + 3.16-výstup + 3.18-jednací sál</t>
  </si>
  <si>
    <t>2,000"ks m.č. 2.13-výstup a předsíň</t>
  </si>
  <si>
    <t>(2,000+1,000)"ks m.č. 3.14-chodba + 3.16-výstup</t>
  </si>
  <si>
    <t>749-2.R26</t>
  </si>
  <si>
    <t>10,000"rozvody</t>
  </si>
  <si>
    <t>749-2.R27</t>
  </si>
  <si>
    <t>Ei - Specifikace č. 3 - Elektromontáže</t>
  </si>
  <si>
    <r>
      <t>šetrné odpojení, demontáž a montáž vyzbrojení stávajících rozváděčů R</t>
    </r>
    <r>
      <rPr>
        <vertAlign val="subscript"/>
        <sz val="8"/>
        <rFont val="Trebuchet MS"/>
        <family val="2"/>
        <charset val="238"/>
      </rPr>
      <t>3</t>
    </r>
    <r>
      <rPr>
        <sz val="8"/>
        <rFont val="Trebuchet MS"/>
        <family val="2"/>
        <charset val="238"/>
      </rPr>
      <t xml:space="preserve"> a R</t>
    </r>
    <r>
      <rPr>
        <vertAlign val="subscript"/>
        <sz val="8"/>
        <rFont val="Trebuchet MS"/>
        <family val="2"/>
        <charset val="238"/>
      </rPr>
      <t>P</t>
    </r>
    <r>
      <rPr>
        <sz val="8"/>
        <rFont val="Trebuchet MS"/>
        <family val="2"/>
        <charset val="238"/>
      </rPr>
      <t xml:space="preserve"> za účelem následného zpět připojení</t>
    </r>
  </si>
  <si>
    <t>šetrné odpojení, demontáž a montáž vyzbrojení stávajících rozváděčů R3 a RP za účelem následného zpět připojení</t>
  </si>
  <si>
    <r>
      <t>montáž nástěnného rozváděče R</t>
    </r>
    <r>
      <rPr>
        <vertAlign val="subscript"/>
        <sz val="8"/>
        <rFont val="Trebuchet MS"/>
        <family val="2"/>
        <charset val="238"/>
      </rPr>
      <t>SLP</t>
    </r>
  </si>
  <si>
    <t>montáž kabelu CYKY-J 5x 4 mm2 pevně</t>
  </si>
  <si>
    <t>19,000"rozvody</t>
  </si>
  <si>
    <t>montáž kabelu CYKY-J 4x 10 mm2 pevně</t>
  </si>
  <si>
    <t>16,000"rozvody</t>
  </si>
  <si>
    <t>montáž kabelu CYKY-J 5x 2,5 mm2 pevně</t>
  </si>
  <si>
    <t>8,000"rozvody</t>
  </si>
  <si>
    <t>72,000"rozvody chr. tuhá 25 mm</t>
  </si>
  <si>
    <t>20,000"rozvody chr. tuhá 40 mm</t>
  </si>
  <si>
    <t>72,000"propojení</t>
  </si>
  <si>
    <t>20,000"propojení</t>
  </si>
  <si>
    <t>montáž svítidlo stropní LED s pohybovým čidlem, např. BRILONER LED PIATTO, SENZOR, 38 W, 230 V, 4 000 K, 4 100 lm, IP20, rozm. 595x595x49 mm</t>
  </si>
  <si>
    <t>montáž svítidlo nástěnné nouzové LED, např. LED NOUZOVÉ OSVĚTLENÍ CESSI, 3 W, 3 h, 230 V, 5 000 K, 30 lm, IP20, 50/60 Hz, rozm. 315x223x45 mm</t>
  </si>
  <si>
    <t>montáž svítidlo podlinkové LED, např. LEDVANCE CABINET SLIM, 18 W, 230 V, 3 000 K, 980 lm, IP20, rozm. 500x38x8 mm</t>
  </si>
  <si>
    <t>montáž svítidlo závěsné LED, např. LEDVANCE SUN@HOME CHYTRÉ ZÁVĚSNÉ WiFi SVÍTIDLO WORKSPACE, 50 W, 230 V, 5 000 K, 4 200 lm, IP20, rozm. 1 206x75x62 mm</t>
  </si>
  <si>
    <t>montáž přeložky - shybky</t>
  </si>
  <si>
    <t>montáž krabice odbočné pod omítku KR 97 s časovým spínačem ventilátoru (zpožděný rozběh + doběh)</t>
  </si>
  <si>
    <t>montáž svorky ochranného pospojování</t>
  </si>
  <si>
    <t>montáž kabelu UTP, Cat 5e</t>
  </si>
  <si>
    <t>montáž koaxiálního kabelu 75 Ohmů</t>
  </si>
  <si>
    <t>749-3.R28</t>
  </si>
  <si>
    <t>749-3.R29</t>
  </si>
  <si>
    <t>749-3.R30</t>
  </si>
  <si>
    <t>80,000"rozvody</t>
  </si>
  <si>
    <t>24,000"ks</t>
  </si>
  <si>
    <t>24,000"rozvody</t>
  </si>
  <si>
    <t>749-3.R31</t>
  </si>
  <si>
    <t>749-3.R32</t>
  </si>
  <si>
    <t>749-3.R33</t>
  </si>
  <si>
    <t>749-3.R34</t>
  </si>
  <si>
    <t>749-3.R35</t>
  </si>
  <si>
    <t>14,000"ks</t>
  </si>
  <si>
    <t>Ei - Specifikace č. 4 - Související stavební práce</t>
  </si>
  <si>
    <t>749-0.R05</t>
  </si>
  <si>
    <t>Doprava a koordinace GD … % z dodávek a montáží (počínaje částí 749-1)</t>
  </si>
  <si>
    <t>(2,000+1,000+2,000)"ks m.č. 1.7-výstup + m.č. 1.8-WC + 1.10-chodba spojovací</t>
  </si>
  <si>
    <t>(2,000)"ks m.č. 2.13-výstup a předsíň</t>
  </si>
  <si>
    <t>(11,000)"ks mč.c. 3.18-jednací sál</t>
  </si>
  <si>
    <t>krabice instalační vestavná stolní, např. HADEX</t>
  </si>
  <si>
    <t>(1,000)"ks m.č. 2.13-výstup a předsíň</t>
  </si>
  <si>
    <t>(3,000+1,000+4,000)"ks m.č. 3.14-chodba + m.č. 3.15-kuchyňka + m.č. 3.18-jednací sál</t>
  </si>
  <si>
    <t>(1,000+5,000+23,000)"ks m.č. 3.14-chodba + m.č. 3.15-kuchyňka + m.č. 3.18-jednací sál</t>
  </si>
  <si>
    <t>zásuvka pod omítku jednoduchá, 250 V/16A, např. ABB LEVIT</t>
  </si>
  <si>
    <t>zásuvkový panel, otočný stolní, 2x 230 V, 2x USB, 2x RJ45 PORT, např. HOBIS PANEL OTOČNÝ BTCZ 020</t>
  </si>
  <si>
    <t>(20,000)"ks mč.c. 3.18-jednací sál</t>
  </si>
  <si>
    <t>datová zásuvka, např. ABB LEVIT</t>
  </si>
  <si>
    <t>(7,000)"ks mč.c. 3.18-jednací sál</t>
  </si>
  <si>
    <t>749-2.R28</t>
  </si>
  <si>
    <t>749-2.R29</t>
  </si>
  <si>
    <t>749-2.R30</t>
  </si>
  <si>
    <t>749-2.R31</t>
  </si>
  <si>
    <t>montáž zásuvky pod omítku jednoduché, 250 V/16A, např. ABB LEVIT</t>
  </si>
  <si>
    <t>montáž krabice instalační vestavné stolní, např. HADEX</t>
  </si>
  <si>
    <t>montáž zásuvkového panelu, otočného stolního, 2x 230 V, 2x USB, 2x RJ45 PORT, např. HOBIS PANEL OTOČNÝ BTCZ 020</t>
  </si>
  <si>
    <t>montáž datové zásuvky, např. ABB LEVIT</t>
  </si>
  <si>
    <t>749-3.R36</t>
  </si>
  <si>
    <t>749-3.R37</t>
  </si>
  <si>
    <t>749-3.R38</t>
  </si>
  <si>
    <t>749-3.R39</t>
  </si>
  <si>
    <t>749-3.R40</t>
  </si>
  <si>
    <t>(1,000)"vodoinstalace m.č. 3.15-kuchyňka</t>
  </si>
  <si>
    <t>723823899</t>
  </si>
  <si>
    <t>Montáž a dodávka baterie stojánková dřezová s elektrickým ohřevem vody, např. HOMELIFE TERMO QUICK HY-30-05</t>
  </si>
  <si>
    <t>Doprava … % z dodávek a montáží (počínaje částí 749-1)</t>
  </si>
  <si>
    <t>Zednické výpomoci ...% z dodávek a montáží (počínaje částí 749-1)</t>
  </si>
  <si>
    <t>Doprava … % z dodávek a montáží (počínaje částí 751-1)</t>
  </si>
  <si>
    <t>PPV … % z dodávek a montáží (počínaje částí 751-1)</t>
  </si>
  <si>
    <t>Zednické výpomoci … % z dodávek a montáží (počínaje částí 751-1)</t>
  </si>
  <si>
    <r>
      <t>montáž el. připojení ventilátoru stěnového se zpětnou klapkou</t>
    </r>
    <r>
      <rPr>
        <sz val="8"/>
        <rFont val="Calibri"/>
        <family val="2"/>
        <charset val="238"/>
      </rPr>
      <t>,</t>
    </r>
    <r>
      <rPr>
        <sz val="8"/>
        <rFont val="Trebuchet MS"/>
        <family val="2"/>
        <charset val="238"/>
      </rPr>
      <t xml:space="preserve"> např. DALAP 100 LVZ, 230 V, ø 100 mm</t>
    </r>
  </si>
  <si>
    <t>751-0.R01</t>
  </si>
  <si>
    <t>751-0.R02</t>
  </si>
  <si>
    <t>751-0.R03</t>
  </si>
  <si>
    <t>751-0.R04</t>
  </si>
  <si>
    <t>751-1.R01</t>
  </si>
  <si>
    <r>
      <t>montáž, kompletace a osazení do VZT potrubí ventilátoru stěnového se zpětnou klapkou</t>
    </r>
    <r>
      <rPr>
        <sz val="8"/>
        <rFont val="Calibri"/>
        <family val="2"/>
        <charset val="238"/>
      </rPr>
      <t>,</t>
    </r>
    <r>
      <rPr>
        <sz val="8"/>
        <rFont val="Trebuchet MS"/>
        <family val="2"/>
        <charset val="238"/>
      </rPr>
      <t xml:space="preserve"> např. DALAP 100 LVZ, 230 V, ø 100 mm</t>
    </r>
  </si>
  <si>
    <t>751-1.R02</t>
  </si>
  <si>
    <t>735-0.R01</t>
  </si>
  <si>
    <t>735-0.R02</t>
  </si>
  <si>
    <t>Vytápění - stavební přípomoce (sekání, bourání, průrazy, záhozy a zabetonávky, přesun hmot a likvidace suti, podružný materiál, požární ucpávky)</t>
  </si>
  <si>
    <t>731240199</t>
  </si>
  <si>
    <t>733220199</t>
  </si>
  <si>
    <t>733-0.R01</t>
  </si>
  <si>
    <t>733-0.R02</t>
  </si>
  <si>
    <t>734200199</t>
  </si>
  <si>
    <t>998723102</t>
  </si>
  <si>
    <t>734-0.R01</t>
  </si>
  <si>
    <t>735220199</t>
  </si>
  <si>
    <t>735-0.R03</t>
  </si>
  <si>
    <t>735-0.R04</t>
  </si>
  <si>
    <t>735150199</t>
  </si>
  <si>
    <t>998723202</t>
  </si>
  <si>
    <t>Montáž armatur a doplňujících materiálů včetně použití požárních ucpávek</t>
  </si>
  <si>
    <t>725380699</t>
  </si>
  <si>
    <t>725239202</t>
  </si>
  <si>
    <t>725424340</t>
  </si>
  <si>
    <t>725150355</t>
  </si>
  <si>
    <t>Armatury a doplňující materiály (vnitřní plynoinstalace) včetně použití požárních ucpávek</t>
  </si>
  <si>
    <t>725120205</t>
  </si>
  <si>
    <t>725120199</t>
  </si>
  <si>
    <t>725120100</t>
  </si>
  <si>
    <t>725120101</t>
  </si>
  <si>
    <t>723280199</t>
  </si>
  <si>
    <t>998724102</t>
  </si>
  <si>
    <t>998722102</t>
  </si>
  <si>
    <t>722280199</t>
  </si>
  <si>
    <t>722269202</t>
  </si>
  <si>
    <t>Montáž armatur a doplňujících materiálů (vnitřní vodovod) včetně použití požárních ucpávek</t>
  </si>
  <si>
    <t>Montáž armatur a doplňujících materiálů (vnitřní kanalizace) včetně použití požárních ucpávek</t>
  </si>
  <si>
    <t>998721102</t>
  </si>
  <si>
    <t>721290199</t>
  </si>
  <si>
    <t>721259201</t>
  </si>
  <si>
    <t>722-0.R01</t>
  </si>
  <si>
    <t>721194309</t>
  </si>
  <si>
    <t>721213290</t>
  </si>
  <si>
    <t>721213299</t>
  </si>
  <si>
    <t>721290112</t>
  </si>
  <si>
    <t>Armatury a doplňující materiály (vnitřní kanalizace) včetně použití požárních ucpávek</t>
  </si>
  <si>
    <t>pomocné práce včetně použití požárních ucpávek</t>
  </si>
  <si>
    <t>Zednické drobné výpomoci a nespecifikované pomocné dodávky pro zajištění stavební připravenosti M33 včetně použití požárních ucpávek</t>
  </si>
  <si>
    <t>montáž talířového ventilu odvodu vzduchu do 75 m3/h</t>
  </si>
  <si>
    <t>751-1.R03</t>
  </si>
  <si>
    <t>montáž fasádní hlavice - oblouk + mřížka, ø 100 mm</t>
  </si>
  <si>
    <t>751-1.R04</t>
  </si>
  <si>
    <t>(1,500)"m m.č. 1.8-WC</t>
  </si>
  <si>
    <t>montáž VZT potrubí ø 100 mm včetně požárního utěsnění prostupů</t>
  </si>
  <si>
    <t>751-1.R05</t>
  </si>
  <si>
    <t>spojovací materiál</t>
  </si>
  <si>
    <t>montáž spojovacího materiálu</t>
  </si>
  <si>
    <t>751-2.R01</t>
  </si>
  <si>
    <t>751-2.R02</t>
  </si>
  <si>
    <t>751-2.R03</t>
  </si>
  <si>
    <t>potrubí VZT ø 100 mm</t>
  </si>
  <si>
    <t>fasádní hlavice - oblouk + mřížka, ø 100 mm</t>
  </si>
  <si>
    <t>talířový ventil odvodu vzduchu do 75 m3/h</t>
  </si>
  <si>
    <t>751-2.R05</t>
  </si>
  <si>
    <t>751-2.R04</t>
  </si>
  <si>
    <t>751-0.R05</t>
  </si>
  <si>
    <t>Revize a protokol o vyzkoušení provozu kpl VZT</t>
  </si>
  <si>
    <t>Revize a protokol o vyzkoušení provozu a tlaková zkouška kpl UT</t>
  </si>
  <si>
    <t>Revize a tlaková zkouška plynového potrubí - vnitřní plyn</t>
  </si>
  <si>
    <t>Revize, tlaková zkouška a proplach potrubí neutralizačním roztokem - vodoinstalace</t>
  </si>
  <si>
    <t>Revize a tlaková zkouška potrubí - kanalizace</t>
  </si>
  <si>
    <t>Impregnace řeziva proti dřevokaznému hmyzu, houbám a plísním máčením třída ohrožení 3 a 4, fungicidní dvojnásobný nátěr</t>
  </si>
  <si>
    <t>762801020</t>
  </si>
  <si>
    <t>Montáž dřevěné konstrukce a vyrovnání podlah</t>
  </si>
  <si>
    <t>dřevěné konstrukce pro vyrovnání podlah</t>
  </si>
  <si>
    <t>762524110</t>
  </si>
  <si>
    <t>762510062</t>
  </si>
  <si>
    <t>Montáž dřevěných desek podlah</t>
  </si>
  <si>
    <t>((0,060*0,250*2)+(0,060*0,060)*3)*58,645"m3 podkladní rošt a vyrovnání podlah m.č. 3.18-jednací sál</t>
  </si>
  <si>
    <t>2,000*58,645"m příložky pro podkladní rošt, vyrovnávací kce podlah m.č. 3.18-jednací sál</t>
  </si>
  <si>
    <t>3,000*58,645"m podkladní rošt z latí pro vyrovnání podlah m.č. 3.18-jednací sál</t>
  </si>
  <si>
    <t>58,645"m2 prkna smrková tl. 30 mm m.č. 3.18-jednací sál</t>
  </si>
  <si>
    <t>605111210</t>
  </si>
  <si>
    <t>řezivo stavební prkna prismovaná (středová) tloušťky 30 mm délky 4 m</t>
  </si>
  <si>
    <t>762395100</t>
  </si>
  <si>
    <t>Spojovací prostředky pro montáž konstrukce podlah, bednění, laťování</t>
  </si>
  <si>
    <t>(0,060*0,250*2)*58,645*1,10"m3 příložky pro podkladní rošt, vyrovnávací kce podlah m.č. 3.18-jednací sál</t>
  </si>
  <si>
    <t>(0,060*0,060*3)*58,645*1,10"m3 podkladní rošt a vyrovnání podlah m.č. 3.18-jednací sál</t>
  </si>
  <si>
    <t>0,030*58,645*1,10"m3 prkna smrková tl. 30 mm m.č. 3.18-jednací sál</t>
  </si>
  <si>
    <t>(0,030*58,645)"m3 prkna smrková tl. 30 mm m.č. 3.18-jednací sál</t>
  </si>
  <si>
    <t>762441120</t>
  </si>
  <si>
    <t>607250160</t>
  </si>
  <si>
    <t>58,645*1,10"m2 deska OSB P+D 1. vrstva tl. 15 mm m.č. 3.18-jednací sál</t>
  </si>
  <si>
    <t>58,645*1,10"m2 deska OSB P+D 2. vrstva tl. 15 mm m.č. 3.18-jednací sál</t>
  </si>
  <si>
    <t>Deska OSB P+D tloušťky 15 mm, např. KRONOSPAN OSB 3 P+D 15x2 500x625 mm</t>
  </si>
  <si>
    <t>58,645"m2 deska OSB P+D 1. vrstva spodní tl. 15 mm m.č. 3.18-jednací sál</t>
  </si>
  <si>
    <t>58,645"m2 deska OSB P+D 2. vrstva vrchní tl. 15 mm m.č. 3.18-jednací sál</t>
  </si>
  <si>
    <t>762895200</t>
  </si>
  <si>
    <t>Spojovací prostředky pro montáž desek</t>
  </si>
  <si>
    <t>58,645*1,10"m2 separační fólie m.č. 3.18-jednací sál</t>
  </si>
  <si>
    <t>58,645"m2 separační fólie m.č. 3.18-jednací sál</t>
  </si>
  <si>
    <t>763131760</t>
  </si>
  <si>
    <t>Montáž separační fólie do podlah</t>
  </si>
  <si>
    <t>283292780</t>
  </si>
  <si>
    <t>folie nehořlavá separační, např. JUTAFOL</t>
  </si>
  <si>
    <t>Přesun hmot pro dřevostavby v objektech v do 12 m</t>
  </si>
  <si>
    <t>632450131</t>
  </si>
  <si>
    <t>Cementový potěr parapetů tl do 30 mm ze suchých směsí provedený v ploše</t>
  </si>
  <si>
    <t>Montáž parapetních desek š. do 30 cm, dl. do 100 cm</t>
  </si>
  <si>
    <t>(0,700*0,300)"m2 venkovní část mč. 2.13-výstup a předsíň</t>
  </si>
  <si>
    <t>(0,700*0,250)"m2 venkovní část mč. 3.15-kuchyňka</t>
  </si>
  <si>
    <t>(0,965*0,300)*3"m2 pro naznačené (zazděné) výplně přístavby</t>
  </si>
  <si>
    <t>(0,700*0,600)"m2 vnitřní část mč. 2.13-výstup a předsíň</t>
  </si>
  <si>
    <t>(0,700*0,500)"m2 vnitřní část mč. 3.15-kuchyňka</t>
  </si>
  <si>
    <t>Montáž dřevěných parapetních desek š. do 50 cm, dl. do 100 cm</t>
  </si>
  <si>
    <t>766694121</t>
  </si>
  <si>
    <t>611989992</t>
  </si>
  <si>
    <t>deska parapetní dřevěná š. 500 mm dl. 1 000 mm s okapnicí "nosem", barva bílá / přírodní dřevěná dub, (před zadáním do výroby nutno zaměřit)</t>
  </si>
  <si>
    <t>766661112</t>
  </si>
  <si>
    <t>Montáž vnitřních dřev. dveří do ocel. typové zárubně (rám-zárubeň mtz. v HSV) plochy do 2,50 m2 vč. kompletace</t>
  </si>
  <si>
    <r>
      <t xml:space="preserve">1"ks dveře vnitřní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9 m.č. 1.8-WC</t>
    </r>
  </si>
  <si>
    <r>
      <t xml:space="preserve">1"ks dveře vnitřní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7 m.č. 3.13-kancelář</t>
    </r>
  </si>
  <si>
    <t>dveře vnitřní plné hladké, dřevěné dýha dub, 900/1970 mm L (rám-zárubeň dod. v HSV), otevíravé, rozm. 900/1970 mm, klika/klika Al, vložkový zámek, barva přírodní dřev. dub</t>
  </si>
  <si>
    <t>611731614</t>
  </si>
  <si>
    <t>611731611</t>
  </si>
  <si>
    <t>786671130</t>
  </si>
  <si>
    <t>Montáž čalounění dveří s vatovou výplní 1 křídlých vnitřních dřev. dveří plochy do 2,50 m2</t>
  </si>
  <si>
    <r>
      <t xml:space="preserve">0,900*1,970"m2 dveře vnitřní 900/1970 mm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7 m.č. 3.13-kancelář</t>
    </r>
  </si>
  <si>
    <t>786679100</t>
  </si>
  <si>
    <t>Příplatek k čalounění dveří za obití okrasnými hřebíky plochy do 2,50 m2</t>
  </si>
  <si>
    <t>611731719</t>
  </si>
  <si>
    <r>
      <t xml:space="preserve">1"ks dveře vnitřní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23 m.č. 3.14-chodba</t>
    </r>
  </si>
  <si>
    <t>dveře vnitřní plné hladké, dřevěné dýha dub, dvoukřídlé, otevíravé, rozm. 1250/2300 mm L, klika/klika Al, vložkový zámek, barva přírodní dřev. dub, se zvýšenou požární odolností min. EI 30 DP3, např. SAPELI VENECIA KOMFORT</t>
  </si>
  <si>
    <t>766661212</t>
  </si>
  <si>
    <t>Montáž vnitřních dřevěných dveří do obložkové zárubně plochy od 2,50 m2 do 4,00 m2 vč. kompletace</t>
  </si>
  <si>
    <t>767647915</t>
  </si>
  <si>
    <t>Osazení samozavírače horního</t>
  </si>
  <si>
    <r>
      <t xml:space="preserve">1"ks samozavírač barva zlatá/bronz pro dveře vnitřní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23 m.č. 3.14-chodba</t>
    </r>
  </si>
  <si>
    <t>549170255</t>
  </si>
  <si>
    <t>deska parapetní dřevěná do š. 500 mm dl. 1 000 mm s okapnicí "nosem", barva bílá / přírodní dřevěná dub, (před zadáním do výroby nutno zaměřit)</t>
  </si>
  <si>
    <t>deska parapetní dřevěná do š. 300 mm dl. 700 mm s okapnicí "nosem", barva bílá / přírodní dřevěná dub, (před zadáním do výroby nutno zaměřit)</t>
  </si>
  <si>
    <t>766670021</t>
  </si>
  <si>
    <t>Montáž kliky a štítku vnitřních dřev. dveří vč. kompletace</t>
  </si>
  <si>
    <t>549146241</t>
  </si>
  <si>
    <t>766414143</t>
  </si>
  <si>
    <t>Montáž obložení stěn dřevěné deskami včetně ostění</t>
  </si>
  <si>
    <t>(0,420+0,400+0,940+0,400+2,240+0,200+1,250+2,300+0,370+0,500+0,700+0,500+0,860+0,500+1,140+0,500+0,580+0,540+0,120+0,090+0,890+0,090+0,120+0,785+1,160+0,195)*1,900"m2 m.č. 2.13-výstup a předsíň</t>
  </si>
  <si>
    <t>(2,330+0,250+1,175+0,250+0,535+0,150+0,150+2,295)*0,970"m2 m.č. 3.14-chodba</t>
  </si>
  <si>
    <t>((1,372+0,341+1,183+0,341+0,240+0,344+1,183+0,344+1,902)+(2,440+0,148+0,100+0,148+1,885+0,030+0,775+0,030+0,185+1,220+2,365)+(0,626+0,291+1,147+0,291+4,106)+(0,882+0,341+1,156+0,341+1,224+0,341+1,156+0,341+1,224+0,341+1,156+0,341+1,224+0,341+1,156+0,341+0,772))*0,970"m2 m.č. 3.18-jednací sál</t>
  </si>
  <si>
    <t>766417111</t>
  </si>
  <si>
    <t>Podkladový rošt pod obložení stěn</t>
  </si>
  <si>
    <t>(0,860+0,500+0,605+1,760+0,415+0,340+0,340+1,315)*0,970*3"m.č. 3.15-kuchyňka a m.č. 3.16-výstup</t>
  </si>
  <si>
    <t>(0,420+0,400+0,940+0,400+2,240+0,200+1,250+2,300+0,370+0,500+0,700+0,500+0,860+0,500+1,140+0,500+0,580+0,540+0,120+0,090+0,890+0,090+0,120+0,785+1,160+0,195)*1,900*3"m m.č. 2.13-výstup a předsíň</t>
  </si>
  <si>
    <t>(1,000+0,147+0,100+0,900+0,100+0,147+1,000)*2,500*3"m část m.č. 3.13-kancelář</t>
  </si>
  <si>
    <t>(1,000+0,147+0,100+0,900+0,100+0,147+1,000)*2,500"m2 část m.č. 3.13-kancelář</t>
  </si>
  <si>
    <t>(0,860+0,500+0,605+1,760+0,415+0,340+0,340+1,315)*0,970"m2 m.č. 3.15-kuchyňka a m.č. 3.16-výstup</t>
  </si>
  <si>
    <t>(2,330+0,250+1,175+0,250+0,535+0,150+0,150+2,295)*0,970*3"m m.č. 3.14-chodba</t>
  </si>
  <si>
    <t>((1,372+0,341+1,183+0,341+0,240+0,344+1,183+0,344+1,902)+(2,440+0,148+0,100+0,148+1,885+0,030+0,775+0,030+0,185+1,220+2,365)+(0,626+0,291+1,147+0,291+4,106)+(0,882+0,341+1,156+0,341+1,224+0,341+1,156+0,341+1,224+0,341+1,156+0,341+1,224+0,341+1,156+0,341+0,772))*0,970*3"m m.č. 3.18-jednací sál</t>
  </si>
  <si>
    <t>605100621</t>
  </si>
  <si>
    <t>(0,420+0,400+0,940+0,400+2,240+0,200+1,250+2,300+0,370+0,500+0,700+0,500+0,860+0,500+1,140+0,500+0,580+0,540+0,120+0,090+0,890+0,090+0,120+0,785+1,160+0,195)*1,900*3*1,10"m m.č. 2.13-výstup a předsíň</t>
  </si>
  <si>
    <t>(1,000+0,147+0,100+0,900+0,100+0,147+1,000)*2,500*3*1,10"m část m.č. 3.13-kancelář</t>
  </si>
  <si>
    <t>(2,330+0,250+1,175+0,250+0,535+0,150+0,150+2,295)*0,970*3*1,10"m m.č. 3.14-chodba</t>
  </si>
  <si>
    <t>(0,860+0,500+0,605+1,760+0,415+0,340+0,340+1,315)*0,970*3*1,10"m.č. 3.15-kuchyňka a m.č. 3.16-výstup</t>
  </si>
  <si>
    <t>((1,372+0,341+1,183+0,341+0,240+0,344+1,183+0,344+1,902)+(2,440+0,148+0,100+0,148+1,885+0,030+0,775+0,030+0,185+1,220+2,365)+(0,626+0,291+1,147+0,291+4,106)+(0,882+0,341+1,156+0,341+1,224+0,341+1,156+0,341+1,224+0,341+1,156+0,341+1,224+0,341+1,156+0,341+0,772))*0,970*3*1,10"m m.č. 3.18-jednací sál</t>
  </si>
  <si>
    <t>607260123</t>
  </si>
  <si>
    <t>(0,420+0,400+0,940+0,400+2,240+0,200+1,250+2,300+0,370+0,500+0,700+0,500+0,860+0,500+1,140+0,500+0,580+0,540+0,120+0,090+0,890+0,090+0,120+0,785+1,160+0,195)*1,900*1,10"m2 m.č. 2.13-výstup a předsíň</t>
  </si>
  <si>
    <t>(1,000+0,147+0,100+0,900+0,100+0,147+1,000)*2,500*1,10"m2 část m.č. 3.13-kancelář</t>
  </si>
  <si>
    <t>(2,330+0,250+1,175+0,250+0,535+0,150+0,150+2,295)*0,970*1,10"m2 m.č. 3.14-chodba</t>
  </si>
  <si>
    <t>(0,860+0,500+0,605+1,760+0,415+0,340+0,340+1,315)*0,970*1,10"m2 m.č. 3.15-kuchyňka a m.č. 3.16-výstup</t>
  </si>
  <si>
    <t>((1,372+0,341+1,183+0,341+0,240+0,344+1,183+0,344+1,902)+(2,440+0,148+0,100+0,148+1,885+0,030+0,775+0,030+0,185+1,220+2,365)+(0,626+0,291+1,147+0,291+4,106)+(0,882+0,341+1,156+0,341+1,224+0,341+1,156+0,341+1,224+0,341+1,156+0,341+1,224+0,341+1,156+0,341+0,772))*0,970*1,10"m2 m.č. 3.18-jednací sál</t>
  </si>
  <si>
    <t>766414214</t>
  </si>
  <si>
    <t>(0,420+0,400+0,940+0,400+2,240+0,200+1,250+2,300+0,370+0,500+0,700+0,500+0,860+0,500+1,140+0,500+0,580+0,540+0,120+0,090+0,890+0,090+0,120+0,785+1,160+0,195)*1,900*4"m m.č. 2.13-výstup a předsíň</t>
  </si>
  <si>
    <t>(1,000+0,147+0,100+0,900+0,100+0,147+1,000)*2,500*4"m část m.č. 3.13-kancelář</t>
  </si>
  <si>
    <t>(2,330+0,250+1,175+0,250+0,535+0,150+0,150+2,295)*0,970*4"m m.č. 3.14-chodba</t>
  </si>
  <si>
    <t>(0,860+0,500+0,605+1,760+0,415+0,340+0,340+1,315)*0,970*4"m m.č. 3.15-kuchyňka a m.č. 3.16-výstup</t>
  </si>
  <si>
    <t>((1,372+0,341+1,183+0,341+0,240+0,344+1,183+0,344+1,902)+(2,440+0,148+0,100+0,148+1,885+0,030+0,775+0,030+0,185+1,220+2,365)+(0,626+0,291+1,147+0,291+4,106)+(0,882+0,341+1,156+0,341+1,224+0,341+1,156+0,341+1,224+0,341+1,156+0,341+1,224+0,341+1,156+0,341+0,772))*0,970*4"m m.č. 3.18-jednací sál</t>
  </si>
  <si>
    <t>Montáž krycích lišt napojení obložení stěn dřevěnými deskami včetně ostění, krytí založení u podlah a ukončení římsou</t>
  </si>
  <si>
    <t>obkladová dřevěná deska překližka tl. 18 mm</t>
  </si>
  <si>
    <t>lať profil dřevěný 60/40 mm dl. 3 m a více</t>
  </si>
  <si>
    <t>dveřní kování KLASIK/S klíč Cr</t>
  </si>
  <si>
    <t>zavírač dveří hydraulický R 12-14, barva zlatá / bronz, horní provedení</t>
  </si>
  <si>
    <t>krycí lišty napojení obložení stěn dřevěnými deskami včetně ostění, krytí založení u podlah a ukončení římsou</t>
  </si>
  <si>
    <t>(0,420+0,400+0,940+0,400+2,240+0,200+1,250+2,300+0,370+0,500+0,700+0,500+0,860+0,500+1,140+0,500+0,580+0,540+0,120+0,090+0,890+0,090+0,120+0,785+1,160+0,195)*1,900*4*1,10"m m.č. 2.13-výstup a předsíň</t>
  </si>
  <si>
    <t>(1,000+0,147+0,100+0,900+0,100+0,147+1,000)*2,500*4*1,10"m část m.č. 3.13-kancelář</t>
  </si>
  <si>
    <t>(2,330+0,250+1,175+0,250+0,535+0,150+0,150+2,295)*0,970*4*1,10"m m.č. 3.14-chodba</t>
  </si>
  <si>
    <t>(0,860+0,500+0,605+1,760+0,415+0,340+0,340+1,315)*0,970*4*1,10"m m.č. 3.15-kuchyňka a m.č. 3.16-výstup</t>
  </si>
  <si>
    <t>((1,372+0,341+1,183+0,341+0,240+0,344+1,183+0,344+1,902)+(2,440+0,148+0,100+0,148+1,885+0,030+0,775+0,030+0,185+1,220+2,365)+(0,626+0,291+1,147+0,291+4,106)+(0,882+0,341+1,156+0,341+1,224+0,341+1,156+0,341+1,224+0,341+1,156+0,341+1,224+0,341+1,156+0,341+0,772))*0,970*4*1,10"m m.č. 3.18-jednací sál</t>
  </si>
  <si>
    <t>Spojovací prostředky pro montáž obložení stěn</t>
  </si>
  <si>
    <t>58,645*0,015"m3 deska OSB P+D 1. vrstva tl. 15 mm m.č. 3.18-jednací sál</t>
  </si>
  <si>
    <t>58,645*0,015"m3 deska OSB P+D 2. vrstva tl. 15 mm m.č. 3.18-jednací sál</t>
  </si>
  <si>
    <t>89,801*0,018"m3 deska překližk. tl. 18 mm m.č. 3.18-jednací sál</t>
  </si>
  <si>
    <t>359,206*0,060*0,040"m3 latě 60/40 mm m.č. 3.18-jednací sál</t>
  </si>
  <si>
    <t>Impregnace řeziva proti dřevokaznému hmyzu, houbám a plísním máčením třída ohrožení 3 a 4, fungicidní dvojnásobný nátěr transparentním roztokrm</t>
  </si>
  <si>
    <t>762895210</t>
  </si>
  <si>
    <t>762083125</t>
  </si>
  <si>
    <t>Přesun hmot pro konstrukce truhlářské v objektech v do 12 m</t>
  </si>
  <si>
    <t>Montáž podlah z desek OSB tl. do 25 mm, 1 vrstva</t>
  </si>
  <si>
    <t>Přesun hmot pro zámečnické konstrukce v objektech v do 12 m</t>
  </si>
  <si>
    <t>((0,100+0,200+1,525+0,590+0,200+1,110+0,510+0,200+3,090+1,900+0,885+0,200+0,100)*0,100+(1,525+0,590+0,200)*0,100)*1,10"m2 mč. 1.5-kuchyňka</t>
  </si>
  <si>
    <t>((0,350+1,700+0,500+0,500+0,580+1,700+0,380+0,350)*0,150)*1,10"m2 mč. 1.7-výstup</t>
  </si>
  <si>
    <t>((0,420+0,400+0,940+0,400+2,240+0,200+1,250+2,300+0,370+0,500+0,700+0,500+0,860+0,500+1,140+0,500+0,580+0,540+0,120+0,090+0,890+0,090+0,120+0,785+1,160+0,195)*0,150)*1,10"m2 m.č. 2.13-výstup a předsíň</t>
  </si>
  <si>
    <t>((0,893+0,200+1,250+1,000)*0,150)*1,10"m2 část hl. podesty m.č. 3.1-schodiště</t>
  </si>
  <si>
    <t>((1,000+0,147+0,100+0,900+0,100+0,147+1,000)*0,150)*1,10"m2 část m.č. 3.13-kancelář</t>
  </si>
  <si>
    <t>((2,330+0,250+1,175+0,250+0,535+0,200+1,250+0,200+2,295+0,340+1,330+0,340+0,415+0,265+0,445+1,220+0,445+0,165)*0,150)*1,10"m2 m.č. 3.14-chodba</t>
  </si>
  <si>
    <t>((1,515+1,760+0,370+0,500+0,700+0,500+0,445)*0,150+(0,615+1,760+0,370)*0,150)*1,10"m2 m.č. 3.15-kuchyňka</t>
  </si>
  <si>
    <t>((0,415+0,340+1,330+0,340+0,415+0,415+0,500+1,140+0,500+0,605+1,760)*0,150)*1,10"m2 m.č. 3.16-výstup</t>
  </si>
  <si>
    <t>(((1,372+0,341+1,183+0,341+0,240+0,344+1,183+0,344+1,902)+(2,440+0,148+0,100+0,148+1,885+0,030+0,775+0,030+0,185+1,220+2,365)+(0,626+0,291+1,147+0,291+4,106)+(0,882+0,341+1,156+0,341+1,224+0,341+1,156+0,341+1,224+0,341+1,156+0,341+1,224+0,341+1,156+0,341+0,772))*0,150+(0,611))*1,10"m2 m.č. 3.18-jednací sál</t>
  </si>
  <si>
    <t>(0,100+0,200+1,525+0,590+0,200+1,110+0,510+0,200+3,090+1,900+0,885+0,200+0,100)*0,100+(1,525+0,590+0,200)"m mč. 1.5-kuchyňka</t>
  </si>
  <si>
    <t>(0,350+1,700+0,500+0,500+0,580+1,700+0,380+0,350)"m mč. 1.7-výstup</t>
  </si>
  <si>
    <t>(0,420+0,400+0,940+0,400+2,240+0,200+1,250+2,300+0,370+0,500+0,700+0,500+0,860+0,500+1,140+0,500+0,580+0,540+0,120+0,090+0,890+0,090+0,120+0,785+1,160+0,195)"m m.č. 2.13-výstup a předsíň</t>
  </si>
  <si>
    <t>(0,893+0,200+1,250+1,000)"m část hl. podesty m.č. 3.1-schodiště</t>
  </si>
  <si>
    <t>(1,000+0,147+0,100+0,900+0,100+0,147+1,000)"m část m.č. 3.13-kancelář</t>
  </si>
  <si>
    <t>(2,330+0,250+1,175+0,250+0,535+0,200+1,250+0,200+2,295+0,340+1,330+0,340+0,415+0,265+0,445+1,220+0,445+0,165)"m m.č. 3.14-chodba</t>
  </si>
  <si>
    <t>(1,515+1,760+0,370+0,500+0,700+0,500+0,445)+(0,615+1,760+0,370)"m2 m.č. 3.15-kuchyňka</t>
  </si>
  <si>
    <t>(0,415+0,340+1,330+0,340+0,415+0,415+0,500+1,140+0,500+0,605+1,760)"m2 m.č. 3.16-výstup</t>
  </si>
  <si>
    <t>((1,372+0,341+1,183+0,341+0,240+0,344+1,183+0,344+1,902)+(2,440+0,148+0,100+0,148+1,885+0,030+0,775+0,030+0,185+1,220+2,365)+(0,626+0,291+1,147+0,291+4,106)+(0,882+0,341+1,156+0,341+1,224+0,341+1,156+0,341+1,224+0,341+1,156+0,341+1,224+0,341+1,156+0,341+0,772))+(0,611)"m m.č. 3.18-jednací sál</t>
  </si>
  <si>
    <t>6,898"m2 mč. 1.5-kuchyňka</t>
  </si>
  <si>
    <t>4,074"m2 mč. 1.7-výstup</t>
  </si>
  <si>
    <t>1,395"m2 m.č. 1.8-WC</t>
  </si>
  <si>
    <t>4,245"m2 m.č. 1.10-chodba spojovací</t>
  </si>
  <si>
    <t>14,712"m2 m.č. 2.13-výstup a předsíň</t>
  </si>
  <si>
    <t>7,503"m2 m.č. 3.14-chodba</t>
  </si>
  <si>
    <t>2,666"m2 m.č. 3.15-kuchyňka</t>
  </si>
  <si>
    <t>4,824"m2 m.č. 3.16-výstup</t>
  </si>
  <si>
    <t>6,898*1,10"m2 mč. 1.5-kuchyňka</t>
  </si>
  <si>
    <t>4,074*1,10"m2 mč. 1.7-výstup</t>
  </si>
  <si>
    <t>1,395*1,10"m2 m.č. 1.8-WC</t>
  </si>
  <si>
    <t>4,245*1,10"m2 m.č. 1.10-chodba spojovací</t>
  </si>
  <si>
    <t>14,712*1,10"m2 m.č. 2.13-výstup a předsíň</t>
  </si>
  <si>
    <t>7,503*1,10"m2 m.č. 3.14-chodba</t>
  </si>
  <si>
    <t>2,666*1,10"m2 m.č. 3.15-kuchyňka</t>
  </si>
  <si>
    <t>4,824*1,10"m2 m.č. 3.16-výstup</t>
  </si>
  <si>
    <t>Přesun hmot pro podlahy z dlaždic v objektech v do 12 m</t>
  </si>
  <si>
    <t>Montáž obkladů vnějších keramických hladkých do 22 ks/m2 lepených flexibilním lepidlem</t>
  </si>
  <si>
    <t>obkladačky keramické slinuté glazované protiskluznost min. R11/C, provedení ploch např. RAKO STONES DAGSE669 rozm. 300 x 600 mm</t>
  </si>
  <si>
    <t>(0,615+1,760+0,370)*1,200"m.č. 3.15-kuchyňka</t>
  </si>
  <si>
    <t>(1,525+0,590+0,200)*1,400"m2 mč. 1.5-kuchyňka</t>
  </si>
  <si>
    <t>(1,525+0,590+0,200)*1,400*1,10"m2 mč. 1.5-kuchyňka</t>
  </si>
  <si>
    <t>(0,930+0,765+0,600+0,335+0,930+0,300+0,600+0,800)*3,060*1,10"m.č. 1.8-WC</t>
  </si>
  <si>
    <t>(0,615+1,760+0,370)*1,200*1,10"m.č. 3.15-kuchyňka</t>
  </si>
  <si>
    <t>Příplatek k montáži obkladů vnitřních keramických hladkých za malou plochu</t>
  </si>
  <si>
    <t>Příplatek k montáži obkladů vnějších keramických hladkých za malou plochu</t>
  </si>
  <si>
    <t>58,645*1,25"m2 m.č. 3.18-jednací sál</t>
  </si>
  <si>
    <t>4,824*1,25"m2 m.č. 3.16-výstup</t>
  </si>
  <si>
    <t>2,666*1,25"m2 m.č. 3.15-kuchyňka</t>
  </si>
  <si>
    <t>7,503*1,25"m2 m.č. 3.14-chodba</t>
  </si>
  <si>
    <t>14,712*1,25"m2 m.č. 2.13-výstup a předsíň</t>
  </si>
  <si>
    <t>Napouštěcí dvojnásobný fungicidní nátěr tesařských konstrukcí stávajících zabudovaných do konstrukcí, provedeno po jejich odkrytí a vyčištění, 2x sanační nátěr, např. LIGNOFIX</t>
  </si>
  <si>
    <t>775429121</t>
  </si>
  <si>
    <t>Montáž podlahové lišty přechodové připevněné vruty / lepením</t>
  </si>
  <si>
    <r>
      <t xml:space="preserve">0,600"m dveře vnitřní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9 m.č. 1.8-WC</t>
    </r>
  </si>
  <si>
    <t>1,340"m prostup vnitřní m.č. 1.7-výstup</t>
  </si>
  <si>
    <r>
      <t xml:space="preserve">(0,890+1,160+1,250)"m prostup vnitřní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 xml:space="preserve">14,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 xml:space="preserve">15,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16 m.č. 2.13-výstup a předsíň</t>
    </r>
  </si>
  <si>
    <r>
      <t xml:space="preserve">0,900"m dveře vnitřní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7 m.č. 3.13-kancelář</t>
    </r>
  </si>
  <si>
    <r>
      <t xml:space="preserve">(1,250+1,220)"m dveře vnitřní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 xml:space="preserve">23,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20 m.č. 3.14-chodba</t>
    </r>
  </si>
  <si>
    <t>553431150</t>
  </si>
  <si>
    <t>hliníkový přechodový profil, např. MULTIFLOOR 30 dub</t>
  </si>
  <si>
    <t>Montáž podlah plovoucích z lamel laminátových</t>
  </si>
  <si>
    <t>58,645"m2 m.č. 3.18-jednací sál</t>
  </si>
  <si>
    <t>775541151</t>
  </si>
  <si>
    <t>611521270</t>
  </si>
  <si>
    <t>parketa laminátová tl. 10 mm odstín dub</t>
  </si>
  <si>
    <t>58,645*1,10"m2 m.č. 3.18-jednací sál</t>
  </si>
  <si>
    <t>775591193</t>
  </si>
  <si>
    <t>Montáž podložky termoizolační pro plovoucí podlahy</t>
  </si>
  <si>
    <t>611553490</t>
  </si>
  <si>
    <t>podložka pod plovoucí podlahy XPS tl.3mm</t>
  </si>
  <si>
    <t>775591197</t>
  </si>
  <si>
    <t>Montáž parozábrany se samolepícím proužkem pro plovoucí podlahy</t>
  </si>
  <si>
    <t>611553100</t>
  </si>
  <si>
    <t>folie PE 0,2 mm šíře 2 m</t>
  </si>
  <si>
    <t>Montáž bezpečnostní žaluzie - rolovací mříž</t>
  </si>
  <si>
    <t>1"ks rolovací mříž vnitřní m.č. 3.15-kuchyňka</t>
  </si>
  <si>
    <t>767-0.R01</t>
  </si>
  <si>
    <t>767-0.R02</t>
  </si>
  <si>
    <t>bezpečnostní žaluzie - rolovací mříž rozm. 1 760 / 3 440 mm</t>
  </si>
  <si>
    <t>Lazurovací vícenásobný syntetický nátěr truhlářských konstrukcí dřevěného obkladu stěn, nátěr lak 1x základní + 2x vrchní</t>
  </si>
  <si>
    <t>783317101</t>
  </si>
  <si>
    <t>1"ks m.č. 1.8-WC</t>
  </si>
  <si>
    <t>1"ks m.č. 3.13-kancelář</t>
  </si>
  <si>
    <t>Nátěr zárubně (1x základní + 2x vrchní)</t>
  </si>
  <si>
    <t>783317102</t>
  </si>
  <si>
    <t>((0,100*4+0,160*2)*2)*19"m2 kpl</t>
  </si>
  <si>
    <t>Nátěr ocelové konstrukce válcovaných nosníků základní antikorozní</t>
  </si>
  <si>
    <t>Základní silikátová jednonásobná penetrace podkladu stěn a stropů</t>
  </si>
  <si>
    <t>Základní silikátová jednonásobná penetrace podkladu v místnostech</t>
  </si>
  <si>
    <t>Dvojnásobné bílé malby ze směsí za mokra výborně otěruvzdorných v místnostech</t>
  </si>
  <si>
    <t>((0,700+2,020*2)*1+(1,350+2,020*2)*1+(1,410+2,440*2)*1+(1,360+2,400*2)*1+(1,090+2,290*2)*1+(1,450+2,400*2)*1+(1,420+2,390*2)*1+(1,000+2,020*2)*1)*0,100"m2 dveře</t>
  </si>
  <si>
    <t>((0,700+2,020*2)*1+(1,350+2,020*2)*1+(1,410+2,440*2)*1+(1,360+2,400*2)*1+(1,090+2,290*2)*1+(1,450+2,400*2)*1+(1,420+2,390*2)*1+(1,000+2,020*2)*1)*0,100"m2 ostění dveří</t>
  </si>
  <si>
    <t>(((0,700+1,400*2)*2)*2)*0,400"m2 ostění okna</t>
  </si>
  <si>
    <t>(((1,000+2,000*2)*2)*7)*0,500"m2 ostění okna</t>
  </si>
  <si>
    <t>6,898"m2 strop mč. 1.5-kuchyňka</t>
  </si>
  <si>
    <t>4,074"m2 strop mč. 1.7-výstup</t>
  </si>
  <si>
    <t>1,395"m2 strop m.č. 1.8-WC</t>
  </si>
  <si>
    <t>4,245"m2 strop m.č. 1.10-chodba spojovací</t>
  </si>
  <si>
    <t>14,712"m2 strop m.č. 2.13-výstup a předsíň</t>
  </si>
  <si>
    <t>2,406"m2 strop část hl. podesty m.č. 3.1-schodiště</t>
  </si>
  <si>
    <t>3,122"m2 strop část m.č. 3.13-kancelář</t>
  </si>
  <si>
    <t>7,503"m2 strop m.č. 3.14-chodba</t>
  </si>
  <si>
    <t>2,666"m2 strop m.č. 3.15-kuchyňka</t>
  </si>
  <si>
    <t>4,824"m2 strop m.č. 3.16-výstup</t>
  </si>
  <si>
    <t>58,645"m2 strop m.č. 3.18-jednací sál</t>
  </si>
  <si>
    <t>(0,100+0,200+1,525+0,590+0,200+1,110+0,510+0,200+3,090+1,900+0,885+0,200+0,100)*(3,060-0,100)-(1,525+0,590+0,200)*1,400"m2 stěny mč. 1.5-kuchyňka</t>
  </si>
  <si>
    <t>(0,750+0,350+1,700+0,500+1,140+0,500+0,580+1,700+0,380+0,350+0,380+1,800)*(3,300-0,150)"m2 stěny mč. 1.7-výstup a navazující část m.č. 1.10-chodba spojovací</t>
  </si>
  <si>
    <t>(0,420+0,400+0,940+0,400+2,240+0,200+1,250+2,300+0,370+0,500+0,700+0,500+0,860+0,500+1,140+0,500+0,580+0,540+0,120+0,090+0,890+0,090+0,120+0,785+1,160+0,195)*(3,150-0,150)"m2 stěny m.č. 2.13-výstup a předsíň</t>
  </si>
  <si>
    <t>(0,893+0,200+1,250+1,000)*(3,440-0,150)"m2 stěny část hl. podesty m.č. 3.1-schodiště</t>
  </si>
  <si>
    <t>(1,000+0,147+0,100+0,900+0,100+0,147+1,000)*(3,440-0,150)"m2 stěny část m.č. 3.13-kancelář</t>
  </si>
  <si>
    <t>(2,330+0,250+1,175+0,250+0,535+0,200+1,250+0,200+2,295+0,340+1,330+0,340+0,415+0,265+0,445+1,220+0,445+0,165)*(3,440-0,150)"m2 stěny m.č. 3.14-chodba</t>
  </si>
  <si>
    <t>((1,515+1,760+0,370+0,500+0,700+0,500+0,445)*3,440)-((1,515+1,760+0,370+0,500+0,700+0,500+0,445)*0,150+(0,615+1,760+0,370)*1,200)"m2 stěny m.č. 3.15-kuchyňka</t>
  </si>
  <si>
    <t>(0,415+0,340+1,330+0,340+0,415+0,415+0,500+1,140+0,500+0,605+1,760)*(3,440-0,150)"m2 stěny m.č. 3.16-výstup</t>
  </si>
  <si>
    <t>((1,372+0,341+1,183+0,341+0,240+0,344+1,183+0,344+1,902)+(2,440+0,148+0,100+0,148+1,885+0,030+0,775+0,030+0,185+1,220+2,365)+(0,626+0,291+1,147+0,291+4,106)+(0,882+0,341+1,156+0,341+1,224+0,341+1,156+0,341+1,224+0,341+1,156+0,341+1,224+0,341+1,156+0,341+0,772))*(3,440-0,150)"m2 stěny m.č. 3.18-jednací sál</t>
  </si>
  <si>
    <t>Úklid a vyčištění stavbou dotčených prostor (průběžná činnost + finální úklid při dokončení stavby)</t>
  </si>
  <si>
    <t>1-0.R01</t>
  </si>
  <si>
    <t>2-0.R02</t>
  </si>
  <si>
    <t>1"kpl m.č. 3.15-kuchyňka</t>
  </si>
  <si>
    <t>1-0.R02</t>
  </si>
  <si>
    <t>1-0.R03</t>
  </si>
  <si>
    <t>1-0.R04</t>
  </si>
  <si>
    <t>Osazení a zapojení lednice 440/470/510 mm</t>
  </si>
  <si>
    <t>lednice s mrazícím boxem, rozm. 440x470mm v. 510 mm, např. PHILCO 41 l (37 l chladnička + 4 l mraznička)</t>
  </si>
  <si>
    <t>1"ks m.č. 3.15-kuchyňka</t>
  </si>
  <si>
    <t>Vnitřní objekt SO 01 - m.č. 3.15-kuchyňka</t>
  </si>
  <si>
    <t xml:space="preserve">    1 - Vnitřní objekty - m.č. 3.15-kuchyňka</t>
  </si>
  <si>
    <t xml:space="preserve">    2 - Vnitřní objekty - m.č. 3.18-jednací sál</t>
  </si>
  <si>
    <t>Vnitřní objekt SO 01 - m.č. 3.18-jednací sál</t>
  </si>
  <si>
    <t>Montáž a osazení stolů</t>
  </si>
  <si>
    <t>2-0.R01</t>
  </si>
  <si>
    <t>2-0.R03</t>
  </si>
  <si>
    <t>2-0.R04</t>
  </si>
  <si>
    <t>8"ks stůl konferenční dřevěný masiv dub rozm. 1 600/700 mm m.č. 3.18-jednací sál</t>
  </si>
  <si>
    <t>1"ks stůl konferenční dřevěný masiv dub rozm. 1 400/700 mm m.č. 3.18-jednací sál</t>
  </si>
  <si>
    <t>1"ks stůl kancelářský rohový dřevěný masiv dub rozm. 1 350/950 mm s výřezem pod radiusem m.č. 3.18-jednací sál</t>
  </si>
  <si>
    <t>8"ks stůl konferenční dřevěný m.č. 3.18-jednací sál</t>
  </si>
  <si>
    <t>1"ks stůl konferenční dřevěný m.č. 3.18-jednací sál</t>
  </si>
  <si>
    <t>1"ks stůl kancelářský dřevěný m.č. 3.18-jednací sál</t>
  </si>
  <si>
    <t>2-0.R05</t>
  </si>
  <si>
    <t>Osazení a umístění židlí</t>
  </si>
  <si>
    <t>1"ks židle kancelářská s pojezdem, opěrkami hlavy a rukou s nastavitelnými pozicemi, rozm. 500/500 mm m.č. 3.18-jednací sál</t>
  </si>
  <si>
    <t>35"ks židle / křeslo konferenční, rozm. 500/550 mm s opěrkami rukou m.č. 3.18-jednací sál</t>
  </si>
  <si>
    <t>2-0.R06</t>
  </si>
  <si>
    <t>35"ks židle / křeslo konferenční, rozm. 500/550 mm m.č. 3.18-jednací sál</t>
  </si>
  <si>
    <t>2-0.R07</t>
  </si>
  <si>
    <t>1"ks židle kancelářská s pojezdem, rozm. 500/500 mm m.č. 3.18-jednací sál</t>
  </si>
  <si>
    <t>2-0.R08</t>
  </si>
  <si>
    <t>Osazení dřevěného věšáku</t>
  </si>
  <si>
    <t>36"ks dřevěný věšák sériově nastavovaný, masiv dub m.č. 3.18-jednací sál</t>
  </si>
  <si>
    <t>2-0.R09</t>
  </si>
  <si>
    <t>2-0.R10</t>
  </si>
  <si>
    <t>Osazení dřevěné odvětrané skříně pro RACK+AV+DATA</t>
  </si>
  <si>
    <t>1"ks dřevěná odvětraná skříň pro RACK+AV+DATA, rozm. 800/400 mm m.č. 3.18-jednací sál</t>
  </si>
  <si>
    <t>2-0.R11</t>
  </si>
  <si>
    <t>Přesun hmot pro obklady keramické v objektech v do 12 m</t>
  </si>
  <si>
    <t>1-0.R05</t>
  </si>
  <si>
    <t>Přesun hmot pro interiéry v objektech v do 12 m</t>
  </si>
  <si>
    <t>2-0.R12</t>
  </si>
  <si>
    <t>1-SLP-0.R01</t>
  </si>
  <si>
    <t>soubor</t>
  </si>
  <si>
    <t>1"soubor SLP podle samostatného rozpočtu</t>
  </si>
  <si>
    <t>není obsaženo v rozpočtu - není v projektu</t>
  </si>
  <si>
    <t>Montáž kuchyňské linky (spodní + vrchní část), dřez, pracovní plocha do dl. 1 600 mm</t>
  </si>
  <si>
    <t>kuchyňská linka (spodní + vrchní část), dřez, pracovní plocha dl. 1 600 mm, např. FAVI BELINI 160 cm</t>
  </si>
  <si>
    <t>stůl konferenční dřevěný masiv dub rozm. 1 600/700 mm atyp. výroba</t>
  </si>
  <si>
    <t>stůl konferenční dřevěný masiv dub rozm. 1 400/700 mm atyp. výroba</t>
  </si>
  <si>
    <t>židle / křeslo konferenční s opěrkami rukou, rozm. do 500/550 mm, např. Konferenční židle LOW, černá, nosnost 120 kg</t>
  </si>
  <si>
    <t>židle kancelářská s pojezdem, opěrkami hlavy a rukou s nastavitelnými pozicemi, rozm. do 500/500 mm, např. Kancelářská židle LOW, černá, nosnost 130 kg</t>
  </si>
  <si>
    <t>dřevěný věšák sériově nastavovaný, masiv dub, atyp. výroba</t>
  </si>
  <si>
    <t>stůl kancelářský rohový dřevěný masiv dub rozm. 1 350/950 mm s rad. Výřezem atyp. výroba</t>
  </si>
  <si>
    <t>skříň dřevěná odvětraná, pro RACK+AV+DATA, rozm. 800/400 mm, atyp. výroba</t>
  </si>
  <si>
    <t>Slaboproudá elektronika včetně zařízení a vybavení - HW + SW</t>
  </si>
  <si>
    <t>*interaktivní displey velikosti do 86", dotykový, el. stojan pro vertikální pojezd</t>
  </si>
  <si>
    <t>*displey velikosti do 48,5" včetně kloubové konzoly, osazení ve výšce cca 2 000 mm nad podlahou</t>
  </si>
  <si>
    <r>
      <t>žlábek / lišta stolu pro kabeláž SLP š. 90</t>
    </r>
    <r>
      <rPr>
        <sz val="8"/>
        <color rgb="FF0000FF"/>
        <rFont val="Trebuchet MS"/>
        <family val="2"/>
        <charset val="238"/>
      </rPr>
      <t>÷</t>
    </r>
    <r>
      <rPr>
        <i/>
        <sz val="8"/>
        <color rgb="FF0000FF"/>
        <rFont val="Trebuchet MS"/>
        <family val="2"/>
        <charset val="238"/>
      </rPr>
      <t>100 mm</t>
    </r>
  </si>
  <si>
    <t>(10,000)"m m.č 3.18-jednací sál</t>
  </si>
  <si>
    <t>(7,000)"ks m.č. 3.18-jednací sál</t>
  </si>
  <si>
    <t>(20,000)"ks m.č. 3.18-jednací sál</t>
  </si>
  <si>
    <t>(11,000)"ks m.č. 3.18-jednací sál</t>
  </si>
  <si>
    <t>749-2.R32</t>
  </si>
  <si>
    <t>749-3.R41</t>
  </si>
  <si>
    <t>montáž žlábku / lišty stolu pro kabeláž SLP š. 90÷100 mm</t>
  </si>
  <si>
    <t>*servisní PC kpl včetně monitoru</t>
  </si>
  <si>
    <t>*HW vybavení</t>
  </si>
  <si>
    <t>*SW vybavení</t>
  </si>
  <si>
    <t>*hlasovací zařízení v počtu 20 hlasovacích míst</t>
  </si>
  <si>
    <t>*volební elektronický systém</t>
  </si>
  <si>
    <t>*řídící systém obsluhy</t>
  </si>
  <si>
    <t>((0,200*2,200)*2+(0,250*1,000))*0,100"dozdívka příčky zárubně m.č. 1.9-technická místnost</t>
  </si>
  <si>
    <r>
      <t>(0,350*2,180)"oddělující příčka tl. 150 mm, protipožární oddělení R</t>
    </r>
    <r>
      <rPr>
        <vertAlign val="subscript"/>
        <sz val="8"/>
        <color rgb="FF505050"/>
        <rFont val="Trebuchet MS"/>
        <family val="2"/>
        <charset val="238"/>
      </rPr>
      <t>VYT</t>
    </r>
    <r>
      <rPr>
        <sz val="8"/>
        <color rgb="FF505050"/>
        <rFont val="Trebuchet MS"/>
        <family val="2"/>
        <charset val="238"/>
      </rPr>
      <t xml:space="preserve"> do prostupu mezi m.č. 3.17-výtah vs. m.č. 3.16-výstup</t>
    </r>
  </si>
  <si>
    <t>((0,435*3,000)+(0,200*3,000)+(0,200*1,730))*0,340+(0,530*0,340)*(2,800+0,200)"dozdívka nosné stěny prostupu m.č. 3.14-chodba vs. m.č. 3.16-výstup</t>
  </si>
  <si>
    <t>(0,500+0,500)*2,200+(0,500)*1,500"mč. 1.9-technická místnost</t>
  </si>
  <si>
    <t>(0,530+0,340+0,530)*2,800+(0,350+0,150+0,350)*2,180"dozdívky m.č. 3.14-chodba a m.č. 3.16-výstup</t>
  </si>
  <si>
    <t>(2,180+1,140+2,180)*2*4+(2,180)*2"lišty dveří aj. výplní</t>
  </si>
  <si>
    <t>171,790*1,100"přepočtené koeficientem množství</t>
  </si>
  <si>
    <t>1,395*0,100"m.č. 1.9-technická místnost</t>
  </si>
  <si>
    <t>(47,712*0,002)*1,500"kpl ocelové svařované sítě KARI 100/100/4 mm</t>
  </si>
  <si>
    <t>(1,395)"m.č. 1.9-technická místnost</t>
  </si>
  <si>
    <t>1,395"m.č. 1.9-technická místnost</t>
  </si>
  <si>
    <t>1"m.č. 1.9-technická místnost</t>
  </si>
  <si>
    <t>zárubeň ocelová typ. 600 / 1 970 mm, P a L</t>
  </si>
  <si>
    <t>1"zárubeň P m.č. 1.8-WC</t>
  </si>
  <si>
    <t>1"zárubeň L m.č. 1.9-technická místnost</t>
  </si>
  <si>
    <t>347,370"omítky stěn dvouvrstvé ploch</t>
  </si>
  <si>
    <t>Potažení vnitřních stěn sklovláknitým pletivem vtlačeným do hmoty</t>
  </si>
  <si>
    <t>611141001</t>
  </si>
  <si>
    <t>((0,700+2,020*2)*2+(1,350+2,020*2)*1+(1,310+2,440*2)*1+(1,260+2,400*2)*1+(0,990+2,290*2)*1+(1,350+2,400*2)*1+(1,320+2,390*2)*1+(1,000+2,020*2)*1)*0,150"dveře</t>
  </si>
  <si>
    <t>5"kpl</t>
  </si>
  <si>
    <t>1,395*0,120"m.č. 1.9-technická místnost</t>
  </si>
  <si>
    <t>0,500*2"m.č. 1.9-technická místnost</t>
  </si>
  <si>
    <t>((0,200*2,200)*2+(0,250*1,000))*0,100"m.č. 1.9-technická místnost</t>
  </si>
  <si>
    <t>97,468"bourací práce</t>
  </si>
  <si>
    <t>97,468"suť</t>
  </si>
  <si>
    <t>97,468*19"suť</t>
  </si>
  <si>
    <t>71,958"materiál</t>
  </si>
  <si>
    <r>
      <t>(1,175*0,800)*0,200+(0,100*1,400)*0,200+(1,175*0,600)*0,200"podezdívka a obezdívka R</t>
    </r>
    <r>
      <rPr>
        <vertAlign val="subscript"/>
        <sz val="8"/>
        <color rgb="FF505050"/>
        <rFont val="Trebuchet MS"/>
        <family val="2"/>
        <charset val="238"/>
      </rPr>
      <t>SLP</t>
    </r>
    <r>
      <rPr>
        <sz val="8"/>
        <color rgb="FF505050"/>
        <rFont val="Trebuchet MS"/>
        <family val="2"/>
        <charset val="238"/>
      </rPr>
      <t xml:space="preserve"> Ei rozvaděčů do niky m.č. 3.14-chodba, mater. např. YTONG</t>
    </r>
  </si>
  <si>
    <t>kompletace rozváděčů</t>
  </si>
  <si>
    <t>749-2.R33</t>
  </si>
  <si>
    <t>kabel CYKY-J 5x 10 mm2</t>
  </si>
  <si>
    <t>(18,000+2,000)"rozvody</t>
  </si>
  <si>
    <t>(2,000+1,000+3,000+1,000+1,000+1,000+1,000+1,000)"ks m.č. 1.7-výstup + m.č. 1.8-WC + 1.10-chodba spojovací + 1.20-zadní vstup</t>
  </si>
  <si>
    <t>(1,000+1,000+1,000+1,000)"ks m.č. 1.7-výstup + m.č. 1.8-WC + m.č. 1.10-chodba spojovací</t>
  </si>
  <si>
    <t>749-2.R34</t>
  </si>
  <si>
    <r>
      <t>Ei - Specifikace č. 1 - Rozváděče R</t>
    </r>
    <r>
      <rPr>
        <vertAlign val="subscript"/>
        <sz val="10"/>
        <color rgb="FF003366"/>
        <rFont val="Trebuchet MS"/>
        <family val="2"/>
        <charset val="238"/>
      </rPr>
      <t>3</t>
    </r>
    <r>
      <rPr>
        <sz val="10"/>
        <color rgb="FF003366"/>
        <rFont val="Trebuchet MS"/>
        <family val="2"/>
        <charset val="238"/>
      </rPr>
      <t>, R</t>
    </r>
    <r>
      <rPr>
        <vertAlign val="subscript"/>
        <sz val="10"/>
        <color rgb="FF003366"/>
        <rFont val="Trebuchet MS"/>
        <family val="2"/>
        <charset val="238"/>
      </rPr>
      <t>P</t>
    </r>
    <r>
      <rPr>
        <sz val="10"/>
        <color rgb="FF003366"/>
        <rFont val="Trebuchet MS"/>
        <family val="2"/>
        <charset val="238"/>
      </rPr>
      <t xml:space="preserve"> a R</t>
    </r>
    <r>
      <rPr>
        <vertAlign val="subscript"/>
        <sz val="10"/>
        <color rgb="FF003366"/>
        <rFont val="Trebuchet MS"/>
        <family val="2"/>
        <charset val="238"/>
      </rPr>
      <t>SLP</t>
    </r>
  </si>
  <si>
    <r>
      <t>dodávka skříně R</t>
    </r>
    <r>
      <rPr>
        <i/>
        <vertAlign val="subscript"/>
        <sz val="8"/>
        <color rgb="FF0000FF"/>
        <rFont val="Trebuchet MS"/>
        <family val="2"/>
        <charset val="238"/>
      </rPr>
      <t>SLP</t>
    </r>
  </si>
  <si>
    <r>
      <t>dodávka skříně R</t>
    </r>
    <r>
      <rPr>
        <i/>
        <vertAlign val="subscript"/>
        <sz val="8"/>
        <color rgb="FF0000FF"/>
        <rFont val="Trebuchet MS"/>
        <family val="2"/>
        <charset val="238"/>
      </rPr>
      <t>VYT</t>
    </r>
  </si>
  <si>
    <r>
      <t>dozbrojení rozváděče R</t>
    </r>
    <r>
      <rPr>
        <i/>
        <vertAlign val="subscript"/>
        <sz val="8"/>
        <color rgb="FF0000FF"/>
        <rFont val="Trebuchet MS"/>
        <family val="2"/>
        <charset val="238"/>
      </rPr>
      <t>3</t>
    </r>
    <r>
      <rPr>
        <i/>
        <sz val="8"/>
        <color rgb="FF0000FF"/>
        <rFont val="Trebuchet MS"/>
        <family val="2"/>
        <charset val="238"/>
      </rPr>
      <t>, R</t>
    </r>
    <r>
      <rPr>
        <i/>
        <vertAlign val="subscript"/>
        <sz val="8"/>
        <color rgb="FF0000FF"/>
        <rFont val="Trebuchet MS"/>
        <family val="2"/>
        <charset val="238"/>
      </rPr>
      <t>P</t>
    </r>
    <r>
      <rPr>
        <i/>
        <sz val="8"/>
        <color rgb="FF0000FF"/>
        <rFont val="Trebuchet MS"/>
        <family val="2"/>
        <charset val="238"/>
      </rPr>
      <t>, R</t>
    </r>
    <r>
      <rPr>
        <i/>
        <vertAlign val="subscript"/>
        <sz val="8"/>
        <color rgb="FF0000FF"/>
        <rFont val="Trebuchet MS"/>
        <family val="2"/>
        <charset val="238"/>
      </rPr>
      <t>SLP</t>
    </r>
    <r>
      <rPr>
        <i/>
        <sz val="8"/>
        <color rgb="FF0000FF"/>
        <rFont val="Trebuchet MS"/>
        <family val="2"/>
        <charset val="238"/>
      </rPr>
      <t xml:space="preserve"> a R</t>
    </r>
    <r>
      <rPr>
        <i/>
        <vertAlign val="subscript"/>
        <sz val="8"/>
        <color rgb="FF0000FF"/>
        <rFont val="Trebuchet MS"/>
        <family val="2"/>
        <charset val="238"/>
      </rPr>
      <t>VYT</t>
    </r>
    <r>
      <rPr>
        <i/>
        <sz val="8"/>
        <color rgb="FF0000FF"/>
        <rFont val="Trebuchet MS"/>
        <family val="2"/>
        <charset val="238"/>
      </rPr>
      <t xml:space="preserve">  / pouze silnoproudé vyzbrojení /</t>
    </r>
  </si>
  <si>
    <t>(1,000+1,000+1,000+1,000)"kpl</t>
  </si>
  <si>
    <t>(1,000+1,000+1,000+1,000)"ks</t>
  </si>
  <si>
    <t>(2,000+2,000+2,000+2,000)"ks</t>
  </si>
  <si>
    <r>
      <t>montáž nástěnného samonosného rozváděče R</t>
    </r>
    <r>
      <rPr>
        <vertAlign val="subscript"/>
        <sz val="8"/>
        <rFont val="Trebuchet MS"/>
        <family val="2"/>
        <charset val="238"/>
      </rPr>
      <t xml:space="preserve">VYT </t>
    </r>
    <r>
      <rPr>
        <sz val="8"/>
        <rFont val="Trebuchet MS"/>
        <family val="2"/>
        <charset val="238"/>
      </rPr>
      <t xml:space="preserve">včetně klempířského zapracování do KPL s výstupními dveřmi </t>
    </r>
    <r>
      <rPr>
        <vertAlign val="subscript"/>
        <sz val="8"/>
        <rFont val="Trebuchet MS"/>
        <family val="2"/>
        <charset val="238"/>
      </rPr>
      <t>D</t>
    </r>
    <r>
      <rPr>
        <sz val="8"/>
        <rFont val="Trebuchet MS"/>
        <family val="2"/>
        <charset val="238"/>
      </rPr>
      <t>22</t>
    </r>
  </si>
  <si>
    <r>
      <t>zapojení rozváděčů R</t>
    </r>
    <r>
      <rPr>
        <vertAlign val="subscript"/>
        <sz val="8"/>
        <rFont val="Trebuchet MS"/>
        <family val="2"/>
        <charset val="238"/>
      </rPr>
      <t>3</t>
    </r>
    <r>
      <rPr>
        <sz val="8"/>
        <rFont val="Trebuchet MS"/>
        <family val="2"/>
        <charset val="238"/>
      </rPr>
      <t xml:space="preserve"> ,a R</t>
    </r>
    <r>
      <rPr>
        <vertAlign val="subscript"/>
        <sz val="8"/>
        <rFont val="Trebuchet MS"/>
        <family val="2"/>
        <charset val="238"/>
      </rPr>
      <t>P</t>
    </r>
    <r>
      <rPr>
        <sz val="8"/>
        <rFont val="Trebuchet MS"/>
        <family val="2"/>
        <charset val="238"/>
      </rPr>
      <t>, R</t>
    </r>
    <r>
      <rPr>
        <vertAlign val="subscript"/>
        <sz val="8"/>
        <rFont val="Trebuchet MS"/>
        <family val="2"/>
        <charset val="238"/>
      </rPr>
      <t>SLP</t>
    </r>
    <r>
      <rPr>
        <sz val="8"/>
        <rFont val="Trebuchet MS"/>
        <family val="2"/>
        <charset val="238"/>
      </rPr>
      <t xml:space="preserve"> a R</t>
    </r>
    <r>
      <rPr>
        <vertAlign val="subscript"/>
        <sz val="8"/>
        <rFont val="Trebuchet MS"/>
        <family val="2"/>
        <charset val="238"/>
      </rPr>
      <t>VYT</t>
    </r>
  </si>
  <si>
    <t>2"ks nový</t>
  </si>
  <si>
    <t>montáž kabelu CYKY-J 5x 10 mm2</t>
  </si>
  <si>
    <t>(18,000+2,000)"rozvody chr. ohebná 40 mm</t>
  </si>
  <si>
    <t>749-3.R42</t>
  </si>
  <si>
    <t>749-3.R43</t>
  </si>
  <si>
    <r>
      <t>oprava zdiva a maleb po úpravě rozváděčů R</t>
    </r>
    <r>
      <rPr>
        <vertAlign val="subscript"/>
        <sz val="8"/>
        <rFont val="Trebuchet MS"/>
        <family val="2"/>
        <charset val="238"/>
      </rPr>
      <t>3</t>
    </r>
    <r>
      <rPr>
        <sz val="8"/>
        <rFont val="Trebuchet MS"/>
        <family val="2"/>
        <charset val="238"/>
      </rPr>
      <t>, R</t>
    </r>
    <r>
      <rPr>
        <vertAlign val="subscript"/>
        <sz val="8"/>
        <rFont val="Trebuchet MS"/>
        <family val="2"/>
        <charset val="238"/>
      </rPr>
      <t>P</t>
    </r>
    <r>
      <rPr>
        <sz val="8"/>
        <rFont val="Trebuchet MS"/>
        <family val="2"/>
        <charset val="238"/>
      </rPr>
      <t xml:space="preserve"> a osazení rozváděčů R</t>
    </r>
    <r>
      <rPr>
        <vertAlign val="subscript"/>
        <sz val="8"/>
        <rFont val="Trebuchet MS"/>
        <family val="2"/>
        <charset val="238"/>
      </rPr>
      <t>SLP</t>
    </r>
    <r>
      <rPr>
        <sz val="8"/>
        <rFont val="Trebuchet MS"/>
        <family val="2"/>
        <charset val="238"/>
      </rPr>
      <t xml:space="preserve"> a R</t>
    </r>
    <r>
      <rPr>
        <vertAlign val="subscript"/>
        <sz val="8"/>
        <rFont val="Trebuchet MS"/>
        <family val="2"/>
        <charset val="238"/>
      </rPr>
      <t>VYT</t>
    </r>
  </si>
  <si>
    <t>montáž trubky elektroinstalační plastové ohebné 40 mm včetně příchytek</t>
  </si>
  <si>
    <t>(18,000+2,000)"propojení</t>
  </si>
  <si>
    <t>749-3.R44</t>
  </si>
  <si>
    <t>13,000"ks</t>
  </si>
  <si>
    <t>2,515"bourací práce elektroinstalace</t>
  </si>
  <si>
    <t>2,515*5"bourací práce elektroinstalace</t>
  </si>
  <si>
    <t>2,515*19"bourací práce elektroinstalace</t>
  </si>
  <si>
    <t>dveře vnitřní plné hladké, dřevěné obyč. lamino, 600/1970 mm L+P (rám-zárubeň dod. v HSV), otevíravé, rozm. 600/1970 mm, klika/klika Al, vložkový zámek, barva bílá</t>
  </si>
  <si>
    <r>
      <t xml:space="preserve">1"ks dveře vnitřní P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9 m.č. 1.8-WC</t>
    </r>
  </si>
  <si>
    <r>
      <t xml:space="preserve">1"ks dveře vnitřní L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9 m.č. 1.9-technická místnost</t>
    </r>
  </si>
  <si>
    <t>(0,500+0,500)"m mč. 1.9-technická místnost</t>
  </si>
  <si>
    <t>(0,500+0,500)*1,10"m2 mč. 1.9-technická místnost</t>
  </si>
  <si>
    <t>1,395"m2 m.č. 1.9-technická místnost</t>
  </si>
  <si>
    <t>1,395*1,10"m2 m.č. 1.9-technická místnost</t>
  </si>
  <si>
    <t>(0,800+1,700)*2*3,060+(0,800*1,700)-(0,700*2,020)"m2 m.č. 1.9-technická místnost</t>
  </si>
  <si>
    <t>1"ks m.č. 1.9-technická místnost</t>
  </si>
  <si>
    <t>509,557"m2 kpl plocha</t>
  </si>
  <si>
    <t>(0,67+2,62+0,50+4,02+0,50+0,41+0,83+0,67+1,00+1,00+1,00+1,00)*2+(2,910+1,505+0,523+0,880)*2"konstrukce stávající zpevněné komunikace</t>
  </si>
  <si>
    <t>((2,680*2,825)*2,500+((3,560*4,585)-(2,680*2,825))*(2,500/2)-(1,157*1,612)*(2,500-2,200)+((1,880-1,425)*((2,500-2,200)/2)))*80%+((2,910+0,880+0,665+0,700+0,510)*1,344)*1,450*80%+(1,277*1,332)*0,664"odkop pro přístavbu</t>
  </si>
  <si>
    <t>(2,300+2,905+1,800+2,245+2,300)*0,600"pasy</t>
  </si>
  <si>
    <t>(26,532+6,930)*20%"odkop pro přístavbu</t>
  </si>
  <si>
    <t>(2,300+0,200)*(2,905+2,245+0,200)"konstrukce pod pasy a desku</t>
  </si>
  <si>
    <t>((1,800+2,905+1,800)*0,500*2,000+(1,800*1,905)*1,800+(2,245+1,800)*0,500*0,900+(1,800*1,645)*0,100)*(-1)"odpočet</t>
  </si>
  <si>
    <t>((2,300+2,905+1,800+2,245+2,300)*0,600)*(-1)"pasy odpočet</t>
  </si>
  <si>
    <t>(3,560*7,685)-(2,300*(2,905+2,245))"po obvodu pasů a desky, pod konstrukce zpevněných ploch</t>
  </si>
  <si>
    <t>(3,560*7,685)*0,100"asfaltová, betonová a podkladní konstrukce zpevněných ploch</t>
  </si>
  <si>
    <t>(26,532+6,930)"odkopu strojně</t>
  </si>
  <si>
    <t>(6,692)"odkopu ručně</t>
  </si>
  <si>
    <t>(26,532+6,930)*1,875"odkopu strojně</t>
  </si>
  <si>
    <t>(6,692)*1,875"odkopu ručně</t>
  </si>
  <si>
    <t>((3,560*7,685)*0,100*2,145)-((2,200*1,180)*0,100*2,250)"znečištěná asfaltovými hmotami - zpevněné plochy</t>
  </si>
  <si>
    <t>2,905*2,300*0,150"deska výtahové šachty</t>
  </si>
  <si>
    <t>((2,905*2,300)+(1,140*0,350))*(4,44/1000)"síť KARI 100/100/6 mm desky výtahové šachty</t>
  </si>
  <si>
    <t>(1,800+2,905+1,800+2,245+1,800)*0,500*0,500"pas přístavby ze 3 stran</t>
  </si>
  <si>
    <t>(1,800+2,905+1,800+2,245+1,800)*0,500*0,150"pas přístavby horní římsa ze 3 stran</t>
  </si>
  <si>
    <t>(2,905)*0,700*0,500"pas sanační podbetonovaný stávající</t>
  </si>
  <si>
    <t>(2,905)*0,550*0,400"pas sanační dobetonovaný stávající s vyztužením</t>
  </si>
  <si>
    <t>(2,905)*0,200*0,200"pas sanační dobetonovaný stávající s vyztužením</t>
  </si>
  <si>
    <t>(1,800+2,905+1,800+2,245+1,800)*0,500*2"pas přístavby ze 3 stran</t>
  </si>
  <si>
    <t>(1,800+2,905+1,800+2,245+1,800)*(0,150+0,100)"pas přístavby horní římsa ze 3 stran</t>
  </si>
  <si>
    <t>(2,905)*0,500"pas sanační podbetonovaný stávající</t>
  </si>
  <si>
    <t>(2,905)*0,400"pas sanační dobetonovaný stávající s vyztužením</t>
  </si>
  <si>
    <t>(2,905)*0,500"pas sanační dobetonovaný stávající s vyztužením</t>
  </si>
  <si>
    <t>(1,21/1000)*1,00*2*8"pruty R14 pro spojení stávajícího a nového základu</t>
  </si>
  <si>
    <t>8"pas</t>
  </si>
  <si>
    <t>274272921</t>
  </si>
  <si>
    <t>Zalití dutin bednících tvárnic tl. 30 cm výplní betonem C 25/30</t>
  </si>
  <si>
    <t>Výztuž základových pasů z betonářské oceli žebírkové s propojením do základů</t>
  </si>
  <si>
    <t>348931101</t>
  </si>
  <si>
    <t>Zdivo z bednících tvárnic, tl. 30 cm, výplň C 25/30</t>
  </si>
  <si>
    <t>(2,100*1,300*3)/2"dozdívky štítů 3 pasů ke krokvím</t>
  </si>
  <si>
    <t>348931103</t>
  </si>
  <si>
    <t>Betonování dutin bednících tvárnic tl. 30 cm výplní betonem C 25/30</t>
  </si>
  <si>
    <t>311361821</t>
  </si>
  <si>
    <t>Výztuž bednících tvárnic z betonářské oceli žebírkové s propojením do spodní části zdiva (sokl)</t>
  </si>
  <si>
    <t>274272141</t>
  </si>
  <si>
    <t>311231123</t>
  </si>
  <si>
    <t>Zdivo nosné betonové tl. 30 cm vč. zalití betonem C 25/30 a žebírkové výztuže, KPL položka</t>
  </si>
  <si>
    <t>((11,000+3,500)*0,300)*2*0,3+(0,469+1,149)*0,300*2*0,3"prokotvení zdiva "šmorce"</t>
  </si>
  <si>
    <t>(1,540*0,300)*1"pod překladem do výtahové šachty z m.č. 1.23-závětří (z ext.)</t>
  </si>
  <si>
    <t>(2,400*0,300)*1"pod překladem do závětří z ext. do m.č. 1.23-závětří</t>
  </si>
  <si>
    <t>(1,540*0,550)*1+(1,540*0,500)*1+(2,025*0,500)*1"pod překladem do výtahové šachty int.</t>
  </si>
  <si>
    <t>(1,540*2,180)*2+(2,025*2,180)*1"pod překladem do výtahové šachty int.</t>
  </si>
  <si>
    <t>(1,540*2,180)*1"pod překladem do výtahové šachty z m.č. 1.23-závětří (z ext.)</t>
  </si>
  <si>
    <t>(2,400*3,035)*1"pod překladem do závětří z ext. do m.č. 1.23-závětří</t>
  </si>
  <si>
    <t>((0,250*0,250)*(0,500+2,955+2,245+0,500))*4"v obvodové stáv. kci</t>
  </si>
  <si>
    <t>((0,250)*(0,500+2,955+2,245+0,500)*2)*4"v obvodové stáv. kci</t>
  </si>
  <si>
    <r>
      <t xml:space="preserve">(2,400*0,0219)*2"podtažení otvoru prostupu vstupní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25 z ext. do m.č. 1.23-závětří … 2x I 180 dl. 2 400 mm</t>
    </r>
  </si>
  <si>
    <r>
      <t xml:space="preserve">(2,025*0,0179)*3"podtažení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m.č. 3.17-výtah … 3x I 160 dl. 1 540 mm</t>
    </r>
  </si>
  <si>
    <t>(1,970*0,0135)*1"podtažení osazení krokví ve stáv. obvodové zdi m.č. 1.23-závětří … 1x U 120 dl. 1 970 mm</t>
  </si>
  <si>
    <r>
      <t xml:space="preserve">(1,450*0,0219)*2"podtažení otvoru prostupu okna </t>
    </r>
    <r>
      <rPr>
        <vertAlign val="subscript"/>
        <sz val="8"/>
        <color rgb="FF505050"/>
        <rFont val="Trebuchet MS"/>
        <family val="2"/>
        <charset val="238"/>
      </rPr>
      <t>O</t>
    </r>
    <r>
      <rPr>
        <sz val="8"/>
        <color rgb="FF505050"/>
        <rFont val="Trebuchet MS"/>
        <family val="2"/>
        <charset val="238"/>
      </rPr>
      <t>2 z m.č. 1.23-závětří do ext. … 2x I 180 dl. 1 450 mm</t>
    </r>
  </si>
  <si>
    <t>(2,300*0,0337)*2"průvlak pro osazení stroje výtahu v m.č. 4.15-výtah … 2x HEB 140 dl. 2 300 mm</t>
  </si>
  <si>
    <r>
      <t xml:space="preserve">(2,025*0,160*0,600)*0,750"podtažení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m.č. 3.17-výtah</t>
    </r>
  </si>
  <si>
    <r>
      <t xml:space="preserve">(1,450*0,180)*2"podtažení otvoru prostupu okna </t>
    </r>
    <r>
      <rPr>
        <vertAlign val="subscript"/>
        <sz val="8"/>
        <color rgb="FF505050"/>
        <rFont val="Trebuchet MS"/>
        <family val="2"/>
        <charset val="238"/>
      </rPr>
      <t>O</t>
    </r>
    <r>
      <rPr>
        <sz val="8"/>
        <color rgb="FF505050"/>
        <rFont val="Trebuchet MS"/>
        <family val="2"/>
        <charset val="238"/>
      </rPr>
      <t>2 z m.č. 1.23-závětří do ext.</t>
    </r>
  </si>
  <si>
    <r>
      <t xml:space="preserve">(2,400*0,180*0,300)*0,750"podtažení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25 do m.č. 1.23-závětří</t>
    </r>
  </si>
  <si>
    <r>
      <t xml:space="preserve">(2,400*0,180)*2"podtažení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25 do m.č. 1.23-závětří</t>
    </r>
  </si>
  <si>
    <r>
      <t xml:space="preserve">(2,025*0,160)*2"podtažení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m.č. 3.17-výtah</t>
    </r>
  </si>
  <si>
    <t>(1,970*0,120)*1"podtažení osazení krokví ve stáv. obvodové zdi m.č. 1.23-závětří</t>
  </si>
  <si>
    <t>(((0,250*0,250)*(0,500+2,955+2,245+0,500))*4)*0,12"výpočtem 120kg/m3</t>
  </si>
  <si>
    <t>(2,000+2,905+2,000+2,245+2,000)*1,750-(2,245+1,800)*1,000"obvodový 3-stranný pas</t>
  </si>
  <si>
    <t>((2,000+2,905+2,000+2,245+2,000)*1,750-(2,245+1,800)*1,000)*0,200"obvodový 3-stranný pas</t>
  </si>
  <si>
    <t>(((2,000+2,905+2,000+2,245+2,000)*(1,750+0,500)-(2,245+2,000)*1,000)*0,300)*0,030"základy z bednících tvárnic tl. 30 cm</t>
  </si>
  <si>
    <t>(2,000+2,905+2,000)*11,000+(2,245+2,000)*3,500"obvodový 3-strany zdiva</t>
  </si>
  <si>
    <t>(94,908)*0,200"obvodový 3-strany zdiva</t>
  </si>
  <si>
    <t>((94,908)*0,300)*0,030"zdivo z bednících tvárnic tl. 30 cm</t>
  </si>
  <si>
    <t>(((2,955+2,245)*0,160)*0,30*0,20)*1+((2,000*0,160)*0,30*0,20)*2*3"dozdívky a zazdívky</t>
  </si>
  <si>
    <t>((2,245*0,160)*1+((2,000+0,540)*0,160))*2*3"pro plentování ocel. I a zálivku betonem</t>
  </si>
  <si>
    <t>((2,245*0,160)*1+(2,000*0,160))*2*3"plentování ocel. I krajní části</t>
  </si>
  <si>
    <t>((2,180+1,140+2,180)+(3,065+1,990+3,035)+(1,100+2,000+1,100+2,000))*(0,300)"ostění prostupů nového zdiva přístavby</t>
  </si>
  <si>
    <t>(2,255+1,965)*(11,000+1,750)"stávající zdivo po napojení přístavby</t>
  </si>
  <si>
    <t>(2,180+1,140+2,180)*(0,550)*1+(2,180+1,140+2,180)*(0,500)*1+(2,180+1,490+2,180)*(0,500)*1"ostění prostupů stávajícího zdiva po napojení přístavby</t>
  </si>
  <si>
    <t>(2,000+2,305+2,2000)*1,960+(2,000+1,965+2,000)*0,500"nové zdivo přístavby pod obklad</t>
  </si>
  <si>
    <t>(2,255)*1,960+(1,965)*0,500"stávající zdivo po napojení přístavby pod obklad</t>
  </si>
  <si>
    <t>((2,000+2,305+2,2000)*1,960+(2,000+1,965+2,000)*0,500)*(-1)"odpočet nové zdivo přístavby pod obklad</t>
  </si>
  <si>
    <t>((2,255)*1,960+(1,965)*0,500)*(-1)"stávající zdivo po napojení přístavby pod obklad</t>
  </si>
  <si>
    <t>((2,180+1,140+2,180)+(3,065+1,990+3,035)+(1,100+2,000+1,100+2,000))*(0,325)"ostění prostupů nového zdiva přístavby</t>
  </si>
  <si>
    <t>(1,500)*(11,000+0,500+11,000+0,500)"stávající zdivo po napojení přístavby</t>
  </si>
  <si>
    <t>((1,140)*(0,325)*2)*(-1)"odpočet ostění prostupu</t>
  </si>
  <si>
    <t>(2,000+2,305+2,000)*(11,000+1,750)+(2,000+1,965+2,000)*(3,500)"nové zdivo přístavby</t>
  </si>
  <si>
    <t>(2,300+2,955)*(11,000+0,500)+(2,300)*(11,000+0,500-3,500)+(2,245+2,300)*(3,500)"nové zdivo přístavby</t>
  </si>
  <si>
    <t>(2,300+2,955+2,245+2,300)*(0,500)"nové zdivo přístavby</t>
  </si>
  <si>
    <t>((2,300+2,955+2,245+2,300)*(0,500))*(-1)"odpočet nové zdivo přístavby</t>
  </si>
  <si>
    <t>(2,180+1,140+0,350+2,180)*2*4"lišty dveří aj. výplní</t>
  </si>
  <si>
    <t>(2,325+2,955+2,245+2,325)"rohové objektu</t>
  </si>
  <si>
    <t>73,450*1,100"přepočtené koeficientem množství</t>
  </si>
  <si>
    <t>1,140*2*5"prahy</t>
  </si>
  <si>
    <t>14,200*1,100"přepočtené koeficientem množství</t>
  </si>
  <si>
    <t>((2,180*1,140)*3)*2+((2,180*(1,140+0,350))*1)*2"dveře šachtové výtahové</t>
  </si>
  <si>
    <t>((0,700*1,400)*2)*2+((1,100*2,000)*1)*2"okna</t>
  </si>
  <si>
    <t>((1,990*3,035)*1)*2"dveře vstupn závětří</t>
  </si>
  <si>
    <t>((2,300+2,905+2,245+2,300)*0,250)*2+((2,300+2,905+2,245+2,300)*0,494)*1"líc venkovní</t>
  </si>
  <si>
    <t>(9,692)*1,100"venkovní líc přepočet koeficientem</t>
  </si>
  <si>
    <t>((2,305*2,000)+(1,140*0,350))*0,092"podlahový beton</t>
  </si>
  <si>
    <t>(1,100*0,250)"m2 venkovní část mč. 1.23-závětří</t>
  </si>
  <si>
    <t>(2,305*2,000)+(1,140*0,350)"na podlahový beton</t>
  </si>
  <si>
    <t>((2,000+2,305+2,2000)*2+(0,350)*2)*3"po obvodu podkladního a podlahového betonu</t>
  </si>
  <si>
    <t>(2,325+1,300+2,955+1,300+1,300+2,325+1,300)*(13,000+0,500)+(2,245+1,300+2,325+1,300)*(4,000)"pro nové zdivo vně přístavby</t>
  </si>
  <si>
    <t>398,978*60"přepočtené koeficientem množství pro 60 dnů</t>
  </si>
  <si>
    <t>398,978"kpl</t>
  </si>
  <si>
    <t>(2,180+1,140+2,180+1,140)*0,600*2+(2,180+1,140+0,350+2,180+1,140+0,350)*0,600*1"interiérové nástupní a výstupní stanice</t>
  </si>
  <si>
    <t>((1,140+0,350)*2,180*0,500)+(0,700*1,400*0,500)"m.č. 3.15-kuchyňka a m.č. 3.16-výstup</t>
  </si>
  <si>
    <t>(2,955)*(11,000+1,200)+(2,245)*(3,500+0,500)"stávající zdivo pro napojení přístavby</t>
  </si>
  <si>
    <t>(2,180+1,140+2,180)*(0,550)*1+(2,180+1,140+2,180)*(0,500)*1+(2,180+1,140+0,350+2,180)*(0,500)*1"ostění prostupů stávajícího zdiva po napojení přístavby</t>
  </si>
  <si>
    <t>((2,300*2,955)+(1,140*0,350)+(1,140*0,600)+(2,245+2,000)*0,300)*2"mč.1.22 a mč. 1.23 dvojnásobný</t>
  </si>
  <si>
    <t>((2,300+2,955)*2*(1,742+0,150)+(0,350)*2*0,150+(0,600)*2*0,150+(0,500*4)*0,500)*2"mč.1.22 dvojnásobný</t>
  </si>
  <si>
    <t>((2,300*2,955)+(1,140*0,350)+(1,140*0,600)+(2,245+2,000)*0,300)*0,00035*2"mč.1.22 a mč.1.23</t>
  </si>
  <si>
    <t>((2,300+2,955)*2*(1,742+0,150)+(0,350)*2*0,150+(0,600)*2*0,150+(0,500*4)*0,500)*0,00035*2"mč.1.22 a mč.1.23</t>
  </si>
  <si>
    <t>((2,300*2,955)+(1,140*0,350)+(1,140*0,600)+(2,245+2,000)*0,300)*2"mč.1.22 a mč. 1.23</t>
  </si>
  <si>
    <t>((2,300+2,955)*2*(1,742+0,150)+(0,350)*2*0,150+(0,600)*2*0,150+(0,500*4)*0,500)*2"mč.1.22</t>
  </si>
  <si>
    <t>((2,300+2,955)*2*(1,742+0,150)+(0,350)*2*0,150+(0,600)*2*0,150+(0,500*4)*0,500)*2*1,10"mč.1.22 přepočtené koeficientem množství</t>
  </si>
  <si>
    <t>((2,300*2,955)+(1,140*0,350)+(1,140*0,600)+(2,245+2,000)*0,300)*2*1,10"mč.1.22 a mč.1.23 přepočtené koeficientem množství</t>
  </si>
  <si>
    <t>((2,300*2,955)+(1,140*0,350)+(1,140*0,600)+(2,245+2,000)*0,300)"mč.1.22 a mč.1.23 přepočtené koeficientem množství</t>
  </si>
  <si>
    <t>((2,300+2,955)*2*(1,742+0,150)+(0,350)*2*0,150+(0,600)*2*0,150+(0,500*4)*0,500)"mč.1.22 přepočtené koeficientem množství</t>
  </si>
  <si>
    <t>(2,500*2,600)"zastřešení závětří</t>
  </si>
  <si>
    <t>(2,500*2,600)*1,10"zastřešení závětří</t>
  </si>
  <si>
    <t>(2,000*2,305)"mč.4.15</t>
  </si>
  <si>
    <t>(1,920*2,000)"mč.1.23</t>
  </si>
  <si>
    <t>(2,000*2,305)*1,10"mč.4.15 přepočtené koeficientem množství</t>
  </si>
  <si>
    <t>(1,920*2,000)*1,10"mč.1.23 přepočtené koeficientem množství</t>
  </si>
  <si>
    <t>(2,000*2,305)*4"mč.4.15 ve čtyřech vrstvách</t>
  </si>
  <si>
    <t>(1,920*2,000)*4"mč.1.23 ve čtyřech vrstvách</t>
  </si>
  <si>
    <t>(33,800/4)*1,10"mč.1.23 a mč.4.15 přepočtené koeficientem množství</t>
  </si>
  <si>
    <t>(33,800/4)*2*1,10"mč.4.15 přepočtené koeficientem množství</t>
  </si>
  <si>
    <t>(33,800)"mč.1.23 a mč.4.15 ve čtyřech vrstvách</t>
  </si>
  <si>
    <t>(0,385+0,636+1,496)*0,500*1,000"odvodnění svodu mč.1.23</t>
  </si>
  <si>
    <t>(0,385+0,636+1,496)*0,500*0,300"odvodnění svodu mč.1.23</t>
  </si>
  <si>
    <t>871313301</t>
  </si>
  <si>
    <t>Potrubí KG 125 svodné (ležaté) v zemi (Dod.+Mont.+Zem.pr.+Likvidace výkopku)</t>
  </si>
  <si>
    <t>(0,385+0,636+1,496)"odvodnění svodu mč.1.23</t>
  </si>
  <si>
    <t>871313392</t>
  </si>
  <si>
    <t>1,000"ks odvodnění svodu mč.1.23</t>
  </si>
  <si>
    <t>Gajgr plast v zemi (Dod.+Mont.+Zem.pr.+Osaz.+Beton+Likvidace výkopku)</t>
  </si>
  <si>
    <t>přezbrojení rozvaděče, pro výtah nové jištění 3x 32 A a 1x 15 A, vč. přísl.</t>
  </si>
  <si>
    <t>(2,000-0,250+2,255-0,250-0,250+2,000-0,250+2,255-0,250-0,250)*(12,500+0,500)"pro montáž technologie výtahu a souvisejících konstrukcí uvnitř přístavby</t>
  </si>
  <si>
    <t>91,130*30"přepočtené koeficientem množství pro 30 dnů</t>
  </si>
  <si>
    <t>hlavní vypínač 3x 32 A</t>
  </si>
  <si>
    <t>montáž kabelu CYKY-J 5x 10 mm2 pevně</t>
  </si>
  <si>
    <t>(2,600*2,500*0,025)*2"dvojnásobné bednění závětří</t>
  </si>
  <si>
    <t>(2,500*0,140*0,140)"vaznice přístavby závětří</t>
  </si>
  <si>
    <t>(2,850*0,140*0,180)*5"krokve závětří</t>
  </si>
  <si>
    <t>(3,460*0,140*0,180)*4+(1,000*0,140*0,180)*1"krokve přístavby výtahové šachty</t>
  </si>
  <si>
    <t>(4,000*5,355*0,025)"bednění výtahové šachty</t>
  </si>
  <si>
    <t>(5,800*0,180*0,200)"vaznice přístavby výtahové šachty</t>
  </si>
  <si>
    <t>(4,000*5,355)"bednění výtahové šachty</t>
  </si>
  <si>
    <t>(2,600*2,500)*2"dvojnásobné bednění závětří</t>
  </si>
  <si>
    <t>34,420*0,025*1,10"střecha přístavby vč. napojení přepočteno koeficientem</t>
  </si>
  <si>
    <t>(3,460)*4+(1,000)*1"krokve přístavby výtahové šachty</t>
  </si>
  <si>
    <t>(5,800)"vaznice přístavby výtahové šachty</t>
  </si>
  <si>
    <t>(2,850)*5"krokve závětří</t>
  </si>
  <si>
    <t>(2,500)"vaznice přístavby závětří</t>
  </si>
  <si>
    <t>((3,460*0,140*0,180)*4+(1,000*0,140*0,180)*1)*1,10"krokve přístavby výtahové šachty přepočteno koeficientem</t>
  </si>
  <si>
    <t>(5,800*0,180*0,200)*1,10"vaznice přístavby výtahové šachty přepočteno koeficientem</t>
  </si>
  <si>
    <t>((2,850*0,140*0,180)*5)*1,10"krokve závětří přepočteno koeficientem</t>
  </si>
  <si>
    <t>(2,500*0,140*0,140)*1,10"vaznice přístavby závětří přepočteno koeficientem</t>
  </si>
  <si>
    <t>(0,947/1,10)"bednění</t>
  </si>
  <si>
    <t>(1,090/1,10)"stavební řezivo</t>
  </si>
  <si>
    <t>2,600"okap zastřešení závětří</t>
  </si>
  <si>
    <t>(2,500+0,400)"pro zastřešení závětří</t>
  </si>
  <si>
    <r>
      <t xml:space="preserve">(1,200*1)"pro venkovní výplň nové okno </t>
    </r>
    <r>
      <rPr>
        <vertAlign val="subscript"/>
        <sz val="8"/>
        <color rgb="FF505050"/>
        <rFont val="Trebuchet MS"/>
        <family val="2"/>
        <charset val="238"/>
      </rPr>
      <t>O</t>
    </r>
    <r>
      <rPr>
        <sz val="8"/>
        <color rgb="FF505050"/>
        <rFont val="Trebuchet MS"/>
        <family val="2"/>
        <charset val="238"/>
      </rPr>
      <t>2</t>
    </r>
  </si>
  <si>
    <t>764511701</t>
  </si>
  <si>
    <t>Žlab podokapní půlkruhový z TiZn plechu Rheizink do rš 330 mm</t>
  </si>
  <si>
    <t>(2,200)"střecha přístavby závětří</t>
  </si>
  <si>
    <t>764518721</t>
  </si>
  <si>
    <t>Svody kruhové včetně objímek, kolen, odskoků z TiZn plechu Rheizink do průměru 100 mm</t>
  </si>
  <si>
    <t>(3,500+0,500)"střecha přístavby závětří</t>
  </si>
  <si>
    <t>766629302</t>
  </si>
  <si>
    <t>Montáž oken plastových plochy do 2,50 m2 vč. kompletace</t>
  </si>
  <si>
    <r>
      <t xml:space="preserve">1"okno </t>
    </r>
    <r>
      <rPr>
        <vertAlign val="subscript"/>
        <sz val="8"/>
        <color rgb="FF505050"/>
        <rFont val="Trebuchet MS"/>
        <family val="2"/>
        <charset val="238"/>
      </rPr>
      <t>O</t>
    </r>
    <r>
      <rPr>
        <sz val="8"/>
        <color rgb="FF505050"/>
        <rFont val="Trebuchet MS"/>
        <family val="2"/>
        <charset val="238"/>
      </rPr>
      <t>2 - dvojsklo</t>
    </r>
  </si>
  <si>
    <t>611000001</t>
  </si>
  <si>
    <r>
      <t>plastové okno otvíravé+sklopné rozm. 1 100/2 000 mm min. U</t>
    </r>
    <r>
      <rPr>
        <i/>
        <vertAlign val="subscript"/>
        <sz val="8"/>
        <color rgb="FF0000FF"/>
        <rFont val="Trebuchet MS"/>
        <family val="2"/>
        <charset val="238"/>
      </rPr>
      <t>w</t>
    </r>
    <r>
      <rPr>
        <i/>
        <sz val="8"/>
        <color rgb="FF0000FF"/>
        <rFont val="Trebuchet MS"/>
        <family val="2"/>
        <charset val="238"/>
      </rPr>
      <t>=0,80 W/m</t>
    </r>
    <r>
      <rPr>
        <i/>
        <vertAlign val="superscript"/>
        <sz val="8"/>
        <color rgb="FF0000FF"/>
        <rFont val="Trebuchet MS"/>
        <family val="2"/>
        <charset val="238"/>
      </rPr>
      <t>2</t>
    </r>
    <r>
      <rPr>
        <i/>
        <sz val="8"/>
        <color rgb="FF0000FF"/>
        <rFont val="Trebuchet MS"/>
        <family val="2"/>
        <charset val="238"/>
      </rPr>
      <t>K, s izolačním dvojsklem min. U</t>
    </r>
    <r>
      <rPr>
        <i/>
        <vertAlign val="subscript"/>
        <sz val="8"/>
        <color rgb="FF0000FF"/>
        <rFont val="Trebuchet MS"/>
        <family val="2"/>
        <charset val="238"/>
      </rPr>
      <t>g</t>
    </r>
    <r>
      <rPr>
        <i/>
        <sz val="8"/>
        <color rgb="FF0000FF"/>
        <rFont val="Trebuchet MS"/>
        <family val="2"/>
        <charset val="238"/>
      </rPr>
      <t>=0,60 W/m</t>
    </r>
    <r>
      <rPr>
        <i/>
        <vertAlign val="superscript"/>
        <sz val="8"/>
        <color rgb="FF0000FF"/>
        <rFont val="Trebuchet MS"/>
        <family val="2"/>
        <charset val="238"/>
      </rPr>
      <t>2</t>
    </r>
    <r>
      <rPr>
        <i/>
        <sz val="8"/>
        <color rgb="FF0000FF"/>
        <rFont val="Trebuchet MS"/>
        <family val="2"/>
        <charset val="238"/>
      </rPr>
      <t>K, barva venkovní/vnitřní = bílá/bílá, (před zadáním do výroby nutno zaměřit)</t>
    </r>
  </si>
  <si>
    <t>Montáž parapetních desek š. do 30 cm, dl. do 150 cm</t>
  </si>
  <si>
    <r>
      <t xml:space="preserve">1"okno </t>
    </r>
    <r>
      <rPr>
        <vertAlign val="subscript"/>
        <sz val="8"/>
        <color rgb="FF505050"/>
        <rFont val="Trebuchet MS"/>
        <family val="2"/>
        <charset val="238"/>
      </rPr>
      <t>O</t>
    </r>
    <r>
      <rPr>
        <sz val="8"/>
        <color rgb="FF505050"/>
        <rFont val="Trebuchet MS"/>
        <family val="2"/>
        <charset val="238"/>
      </rPr>
      <t>2</t>
    </r>
  </si>
  <si>
    <t>deska parapetní dřevěná do š. 300 mm dl. 1 200 mm s okapnicí "nosem", barva bílá / přírodní dřevěná dub, (před zadáním do výroby nutno zaměřit)</t>
  </si>
  <si>
    <t>766694113</t>
  </si>
  <si>
    <t>Dodávka  montáž svázání spodních + horních přírub válcovaných I přivařením pásoviny 60/6 mm</t>
  </si>
  <si>
    <t>(1,740/0,300*0,002)*0,600*2"podtažení otvoru prostupu m.č. 1.7-výstup … a´ 300 mm</t>
  </si>
  <si>
    <r>
      <t xml:space="preserve">((1,540+0,350)/0,300*0,002)*0,600*2"podtažení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m.č. 3.17-výtah … a´300 mm</t>
    </r>
  </si>
  <si>
    <t>(2,400/0,300*0,002)*0,600*2"podtažení otvoru prostupu m.č. 1.23-závětří … a´ 300 mm</t>
  </si>
  <si>
    <r>
      <t xml:space="preserve">(0,500*(1,140+0,350))"m.č. 3.16-výstup v prostupu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z m.č. 3.17-výtah</t>
    </r>
  </si>
  <si>
    <r>
      <t xml:space="preserve">(2,000*2,305)+(0,300*1,140)"m.č. 1.22-výtah v prostupu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21 nástupní stanice</t>
    </r>
  </si>
  <si>
    <r>
      <t xml:space="preserve">((2,000*2,305)+(0,300*1,140))*1,10"m.č. 1.22-výtah v prostupu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21 nástupní stanice</t>
    </r>
  </si>
  <si>
    <r>
      <t xml:space="preserve">(((2,000*2,305)+(0,300*1,140)))+(0,150*0,300*2)"m.č. 1.22-výtah v prostupu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21 nástupní stanice</t>
    </r>
  </si>
  <si>
    <t>(2,300+2,955+2,245+2,300)*0,500"sokl venkovního obvodu výtahové šachty</t>
  </si>
  <si>
    <t>(2,300+2,955+2,245+2,300)*0,500*1,10"sokl venkovního obvodu výtahové šachty</t>
  </si>
  <si>
    <r>
      <t xml:space="preserve">((0,074*4+0,160*2)*(1,540+0,350))*3"podtažení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m.č. 3.17-výtah</t>
    </r>
  </si>
  <si>
    <t>((0,050+0,005)*2)*(1,740/0,300*0,002)*0,600*2"svlaky podtažení otvoru prostupu m.č. 1.7-výstup</t>
  </si>
  <si>
    <r>
      <t xml:space="preserve">((0,050+0,005)*2)*((1,540+0,350)/0,300*0,002)*0,600*2"podtažení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22 m.č. 3.17-výtah</t>
    </r>
  </si>
  <si>
    <r>
      <t xml:space="preserve">(0,066*4+0,140*2)*1,100*3"podtažení otvoru prostupu okna </t>
    </r>
    <r>
      <rPr>
        <vertAlign val="subscript"/>
        <sz val="8"/>
        <color rgb="FF505050"/>
        <rFont val="Trebuchet MS"/>
        <family val="2"/>
        <charset val="238"/>
      </rPr>
      <t>O</t>
    </r>
    <r>
      <rPr>
        <sz val="8"/>
        <color rgb="FF505050"/>
        <rFont val="Trebuchet MS"/>
        <family val="2"/>
        <charset val="238"/>
      </rPr>
      <t>2 m.č. 1.23-závětří</t>
    </r>
  </si>
  <si>
    <r>
      <t xml:space="preserve">(0,074*4+0,160*2)*2,400*2"podtažení otvoru prostupu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21 m.č. 1.22-výtah</t>
    </r>
  </si>
  <si>
    <t>((2,000*2,305)+(1,140*0,350))*4+((1,895*1,995)+(1,800*0,350))*1"m2 kpl plocha</t>
  </si>
  <si>
    <t>(2,000*2,245)*1,50"pro konstrukci zpevněné podlahy mč.1.23</t>
  </si>
  <si>
    <t>(2,000*2,245)*1,50*2"pro konstrukci zpevněné podlahy mč.1.23</t>
  </si>
  <si>
    <t>(2,000*2,245)*1,50*2*1,300"pro konstrukci zpevněné podlahy mč.1.23</t>
  </si>
  <si>
    <t>(2,000*2,245)"pro konstrukci zpevněné podlahy mč.1.23</t>
  </si>
  <si>
    <t>Kladení zámkové dlažby komunikací pro pěší tl. 60 mm, skupiny A pl. do 50 m2 vč. přířezů, ve spádu do 2° = 3,5%</t>
  </si>
  <si>
    <t>(2,000*2,245)*1,200"pro konstrukci zpevněné podlahy mč.1.23</t>
  </si>
  <si>
    <t>Podklad štěrkopískové lože fr. 0-8 mm zpevněné cementem tl. 40 mm s rozprostřením a zhutněním, ve spádu do 2° = 3,5%</t>
  </si>
  <si>
    <t>766629501</t>
  </si>
  <si>
    <t>Montáž devří posuvných s nadsvětlíkem, mater. Al do 7,00 m2 vč. kompletace</t>
  </si>
  <si>
    <t>611000101</t>
  </si>
  <si>
    <r>
      <t>vstupní dveře Al posuvné teleskopické třídílné s nadsvětlíkem sklopným, automat ovládání na čip + časový režim zamykání, uzamykatelné, izol. dvojsklo,                           rozm. 1 990/3 035 mm min. U</t>
    </r>
    <r>
      <rPr>
        <i/>
        <vertAlign val="subscript"/>
        <sz val="8"/>
        <color rgb="FF0000FF"/>
        <rFont val="Trebuchet MS"/>
        <family val="2"/>
        <charset val="238"/>
      </rPr>
      <t>w</t>
    </r>
    <r>
      <rPr>
        <i/>
        <sz val="8"/>
        <color rgb="FF0000FF"/>
        <rFont val="Trebuchet MS"/>
        <family val="2"/>
        <charset val="238"/>
      </rPr>
      <t>=0,80 W/m</t>
    </r>
    <r>
      <rPr>
        <i/>
        <vertAlign val="superscript"/>
        <sz val="8"/>
        <color rgb="FF0000FF"/>
        <rFont val="Trebuchet MS"/>
        <family val="2"/>
        <charset val="238"/>
      </rPr>
      <t>2</t>
    </r>
    <r>
      <rPr>
        <i/>
        <sz val="8"/>
        <color rgb="FF0000FF"/>
        <rFont val="Trebuchet MS"/>
        <family val="2"/>
        <charset val="238"/>
      </rPr>
      <t>K, izolačním dvojsklem min. U</t>
    </r>
    <r>
      <rPr>
        <i/>
        <vertAlign val="subscript"/>
        <sz val="8"/>
        <color rgb="FF0000FF"/>
        <rFont val="Trebuchet MS"/>
        <family val="2"/>
        <charset val="238"/>
      </rPr>
      <t>g</t>
    </r>
    <r>
      <rPr>
        <i/>
        <sz val="8"/>
        <color rgb="FF0000FF"/>
        <rFont val="Trebuchet MS"/>
        <family val="2"/>
        <charset val="238"/>
      </rPr>
      <t>=0,60 W/m</t>
    </r>
    <r>
      <rPr>
        <i/>
        <vertAlign val="superscript"/>
        <sz val="8"/>
        <color rgb="FF0000FF"/>
        <rFont val="Trebuchet MS"/>
        <family val="2"/>
        <charset val="238"/>
      </rPr>
      <t>2</t>
    </r>
    <r>
      <rPr>
        <i/>
        <sz val="8"/>
        <color rgb="FF0000FF"/>
        <rFont val="Trebuchet MS"/>
        <family val="2"/>
        <charset val="238"/>
      </rPr>
      <t>K, barva venkovní/vnitřní = bílá/bílá, (před zadáním do výroby nutno zaměřit)</t>
    </r>
  </si>
  <si>
    <r>
      <t xml:space="preserve">1"dveře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25</t>
    </r>
  </si>
  <si>
    <r>
      <t xml:space="preserve">1"dveře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25 - Al dvojsklo bezpečn. vč. přísluš.napojení automat.Ei ovládání</t>
    </r>
  </si>
  <si>
    <t>766694119</t>
  </si>
  <si>
    <t>Dilatace a techn. řešení prahu "bezprahové"</t>
  </si>
  <si>
    <r>
      <t xml:space="preserve">1,990"m dveře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25</t>
    </r>
  </si>
  <si>
    <r>
      <t xml:space="preserve">2"ks dveře vnitřní </t>
    </r>
    <r>
      <rPr>
        <vertAlign val="subscript"/>
        <sz val="8"/>
        <color rgb="FF505050"/>
        <rFont val="Trebuchet MS"/>
        <family val="2"/>
        <charset val="238"/>
      </rPr>
      <t>D</t>
    </r>
    <r>
      <rPr>
        <sz val="8"/>
        <color rgb="FF505050"/>
        <rFont val="Trebuchet MS"/>
        <family val="2"/>
        <charset val="238"/>
      </rPr>
      <t>26 m.č. 1.11-kancelář odboru rozvoje města a m.č. 1.13-kancelář stavebního úřadu (obě bez dodávky zárubně, do stáv. zárubně)</t>
    </r>
  </si>
  <si>
    <t>611731705</t>
  </si>
  <si>
    <t>dveře vnitřní plné hladké, dřevěné dýha dub, 900/1970 mm P (bez dod. rám-zárubně), otevíravé, rozm. 900/1970 mm, klika/klika Al, vložkový zámek, barva přírodní dřev. dub, se zvýšenou požární odolností min. EI 30 DP3, např. SAPELI</t>
  </si>
  <si>
    <t>7+2"kpl</t>
  </si>
  <si>
    <t>(2,665*0,0219)*1+(0,500*0,0110+0,025)*2"průvlak s osazením navařeného táhla s oky pro zavěšení břemen při MTZ výtahu a při realiazaci údržby v m.č. 4.15-výtah … 1x I 180 dl. 2 665 mm + táhla se 2 ks závěsných ok</t>
  </si>
  <si>
    <t>(1,222*0,0179)*1+(0,500*0,0110+0,025)*1"průvlak s osazením navařeného táhla s oky pro zavěšení břemen při MTZ výtahu a při realiazaci údržby v m.č. 4.15-výtah … 1x I 160 dl. 1 222 mm + táhla s 1 ks závěsným okem</t>
  </si>
  <si>
    <t>(2,000)*4-1"pro I a HEB nosníky výtahu</t>
  </si>
  <si>
    <t>(2,000*2)*2"vstup a okno závětří</t>
  </si>
  <si>
    <t>29,251"bourací práce</t>
  </si>
  <si>
    <t>29,251"suť</t>
  </si>
  <si>
    <t>29,251*19"suť</t>
  </si>
  <si>
    <t>262,410"materiál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</si>
</sst>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%"/>
    <numFmt numFmtId="165" formatCode="dd\.mm\.yyyy"/>
    <numFmt numFmtId="166" formatCode="#,##0.000"/>
    <numFmt numFmtId="167" formatCode="000"/>
    <numFmt numFmtId="168" formatCode="0.000"/>
    <numFmt numFmtId="169" formatCode="0.0"/>
    <numFmt numFmtId="170" formatCode="#,##0.00000"/>
  </numFmts>
  <fonts count="74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505050"/>
      <name val="Trebuchet MS"/>
      <family val="2"/>
      <charset val="238"/>
    </font>
    <font>
      <sz val="8"/>
      <color rgb="FFFF0000"/>
      <name val="Trebuchet MS"/>
      <family val="2"/>
      <charset val="238"/>
    </font>
    <font>
      <sz val="8"/>
      <color rgb="FF0000A8"/>
      <name val="Trebuchet MS"/>
      <family val="2"/>
      <charset val="238"/>
    </font>
    <font>
      <sz val="8"/>
      <color rgb="FFFAE682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b/>
      <sz val="10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b/>
      <sz val="11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sz val="9"/>
      <color rgb="FF000000"/>
      <name val="Trebuchet MS"/>
      <family val="2"/>
      <charset val="238"/>
    </font>
    <font>
      <sz val="7"/>
      <color rgb="FF969696"/>
      <name val="Trebuchet MS"/>
      <family val="2"/>
      <charset val="238"/>
    </font>
    <font>
      <sz val="8"/>
      <color rgb="FFFF0000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u/>
      <sz val="8"/>
      <color theme="10"/>
      <name val="Trebuchet MS"/>
      <family val="2"/>
    </font>
    <font>
      <sz val="18"/>
      <color theme="10"/>
      <name val="Wingdings 2"/>
      <family val="1"/>
      <charset val="2"/>
    </font>
    <font>
      <sz val="10"/>
      <color rgb="FF960000"/>
      <name val="Trebuchet MS"/>
      <family val="2"/>
    </font>
    <font>
      <sz val="10"/>
      <name val="Trebuchet MS"/>
      <family val="2"/>
    </font>
    <font>
      <u/>
      <sz val="10"/>
      <color theme="10"/>
      <name val="Trebuchet MS"/>
      <family val="2"/>
    </font>
    <font>
      <sz val="8"/>
      <name val="Trebuchet MS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9"/>
      <name val="Trebuchet MS"/>
      <family val="2"/>
      <charset val="238"/>
    </font>
    <font>
      <i/>
      <sz val="9"/>
      <name val="Trebuchet MS"/>
      <family val="2"/>
      <charset val="238"/>
    </font>
    <font>
      <b/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9"/>
      <color theme="10"/>
      <name val="Wingdings 2"/>
      <family val="1"/>
      <charset val="238"/>
    </font>
    <font>
      <sz val="9"/>
      <color rgb="FF003366"/>
      <name val="Trebuchet MS"/>
      <family val="2"/>
      <charset val="238"/>
    </font>
    <font>
      <b/>
      <sz val="8"/>
      <name val="Trebuchet MS"/>
      <family val="2"/>
      <charset val="238"/>
    </font>
    <font>
      <sz val="9"/>
      <color rgb="FFFF0000"/>
      <name val="Trebuchet MS"/>
      <family val="2"/>
      <charset val="238"/>
    </font>
    <font>
      <b/>
      <sz val="9"/>
      <color rgb="FFFF0000"/>
      <name val="Trebuchet MS"/>
      <family val="2"/>
      <charset val="238"/>
    </font>
    <font>
      <sz val="10"/>
      <name val="Arial CE"/>
    </font>
    <font>
      <sz val="12"/>
      <name val="Trebuchet MS"/>
      <family val="2"/>
    </font>
    <font>
      <b/>
      <sz val="10"/>
      <color rgb="FFFF0000"/>
      <name val="Trebuchet MS"/>
      <family val="2"/>
      <charset val="238"/>
    </font>
    <font>
      <sz val="8"/>
      <color rgb="FF0000FF"/>
      <name val="Trebuchet MS"/>
      <family val="2"/>
      <charset val="238"/>
    </font>
    <font>
      <i/>
      <vertAlign val="superscript"/>
      <sz val="8"/>
      <color rgb="FF0000FF"/>
      <name val="Trebuchet MS"/>
      <family val="2"/>
      <charset val="238"/>
    </font>
    <font>
      <i/>
      <vertAlign val="subscript"/>
      <sz val="8"/>
      <color rgb="FF0000FF"/>
      <name val="Trebuchet MS"/>
      <family val="2"/>
      <charset val="238"/>
    </font>
    <font>
      <sz val="8"/>
      <color rgb="FFFFFF00"/>
      <name val="Trebuchet MS"/>
      <family val="2"/>
    </font>
    <font>
      <sz val="8"/>
      <color rgb="FFFF0000"/>
      <name val="Trebuchet MS"/>
      <family val="2"/>
    </font>
    <font>
      <sz val="10"/>
      <color rgb="FF002060"/>
      <name val="Trebuchet MS"/>
      <family val="2"/>
      <charset val="238"/>
    </font>
    <font>
      <i/>
      <sz val="8"/>
      <color rgb="FF0070C0"/>
      <name val="Trebuchet MS"/>
      <family val="2"/>
      <charset val="238"/>
    </font>
    <font>
      <sz val="8"/>
      <color rgb="FF000000"/>
      <name val="Trebuchet MS"/>
      <family val="2"/>
      <charset val="238"/>
    </font>
    <font>
      <b/>
      <sz val="9"/>
      <color theme="0" tint="-0.34998626667073579"/>
      <name val="Trebuchet MS"/>
      <family val="2"/>
      <charset val="238"/>
    </font>
    <font>
      <sz val="9"/>
      <color theme="0" tint="-0.34998626667073579"/>
      <name val="Trebuchet MS"/>
      <family val="2"/>
      <charset val="238"/>
    </font>
    <font>
      <sz val="9"/>
      <color theme="0" tint="-0.499984740745262"/>
      <name val="Trebuchet MS"/>
      <family val="2"/>
      <charset val="238"/>
    </font>
    <font>
      <sz val="9"/>
      <name val="Trebuchet MS"/>
      <family val="2"/>
    </font>
    <font>
      <sz val="9"/>
      <color rgb="FF969696"/>
      <name val="Trebuchet MS"/>
      <family val="2"/>
    </font>
    <font>
      <sz val="20"/>
      <color rgb="FFFFFF00"/>
      <name val="Trebuchet MS"/>
      <family val="2"/>
    </font>
    <font>
      <i/>
      <sz val="8"/>
      <name val="Trebuchet MS"/>
      <family val="2"/>
    </font>
    <font>
      <i/>
      <sz val="8"/>
      <color indexed="12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vertAlign val="subscript"/>
      <sz val="10"/>
      <color rgb="FF003366"/>
      <name val="Trebuchet MS"/>
      <family val="2"/>
      <charset val="238"/>
    </font>
    <font>
      <vertAlign val="subscript"/>
      <sz val="8"/>
      <name val="Trebuchet MS"/>
      <family val="2"/>
      <charset val="238"/>
    </font>
    <font>
      <i/>
      <sz val="8"/>
      <color rgb="FF0000FF"/>
      <name val="Trebuchet MS"/>
      <family val="2"/>
    </font>
    <font>
      <vertAlign val="subscript"/>
      <sz val="8"/>
      <color rgb="FF505050"/>
      <name val="Trebuchet MS"/>
      <family val="2"/>
      <charset val="238"/>
    </font>
    <font>
      <sz val="10"/>
      <name val="Arial"/>
      <family val="2"/>
      <charset val="238"/>
    </font>
    <font>
      <sz val="8"/>
      <color rgb="FF0000FF"/>
      <name val="Calibri"/>
      <family val="2"/>
      <charset val="238"/>
    </font>
    <font>
      <sz val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969696"/>
      </top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969696"/>
      </left>
      <right style="thin">
        <color rgb="FF000000"/>
      </right>
      <top style="hair">
        <color rgb="FF969696"/>
      </top>
      <bottom style="hair">
        <color rgb="FF969696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969696"/>
      </top>
      <bottom style="hair">
        <color auto="1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5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 applyAlignment="0">
      <alignment vertical="top" wrapText="1"/>
      <protection locked="0"/>
    </xf>
    <xf numFmtId="0" fontId="47" fillId="0" borderId="0"/>
    <xf numFmtId="0" fontId="71" fillId="0" borderId="0"/>
  </cellStyleXfs>
  <cellXfs count="4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0" fillId="2" borderId="0" xfId="0" applyFill="1"/>
    <xf numFmtId="0" fontId="26" fillId="2" borderId="0" xfId="1" applyFill="1" applyAlignment="1" applyProtection="1"/>
    <xf numFmtId="0" fontId="27" fillId="0" borderId="0" xfId="1" applyFont="1" applyAlignment="1" applyProtection="1">
      <alignment horizontal="center" vertical="center"/>
    </xf>
    <xf numFmtId="0" fontId="30" fillId="2" borderId="0" xfId="1" applyFont="1" applyFill="1" applyAlignment="1" applyProtection="1">
      <alignment vertical="center"/>
    </xf>
    <xf numFmtId="0" fontId="29" fillId="2" borderId="0" xfId="0" applyFont="1" applyFill="1" applyAlignment="1">
      <alignment vertical="center"/>
    </xf>
    <xf numFmtId="0" fontId="28" fillId="2" borderId="0" xfId="0" applyFont="1" applyFill="1" applyAlignment="1">
      <alignment horizontal="left" vertical="center"/>
    </xf>
    <xf numFmtId="0" fontId="31" fillId="0" borderId="0" xfId="2" applyAlignment="1">
      <alignment vertical="top"/>
      <protection locked="0"/>
    </xf>
    <xf numFmtId="0" fontId="31" fillId="0" borderId="0" xfId="2" applyAlignment="1">
      <alignment horizontal="center" vertical="center"/>
      <protection locked="0"/>
    </xf>
    <xf numFmtId="4" fontId="7" fillId="0" borderId="0" xfId="0" applyNumberFormat="1" applyFont="1"/>
    <xf numFmtId="0" fontId="39" fillId="0" borderId="0" xfId="0" applyFont="1" applyAlignment="1">
      <alignment vertical="center"/>
    </xf>
    <xf numFmtId="0" fontId="42" fillId="0" borderId="0" xfId="1" applyFont="1" applyAlignment="1" applyProtection="1">
      <alignment horizontal="center" vertical="center"/>
    </xf>
    <xf numFmtId="0" fontId="35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 applyAlignment="1">
      <alignment horizontal="left" vertical="center"/>
    </xf>
    <xf numFmtId="0" fontId="0" fillId="0" borderId="5" xfId="0" applyBorder="1"/>
    <xf numFmtId="0" fontId="1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0" fillId="0" borderId="6" xfId="0" applyBorder="1"/>
    <xf numFmtId="0" fontId="0" fillId="0" borderId="4" xfId="0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3" fillId="3" borderId="8" xfId="0" applyFont="1" applyFill="1" applyBorder="1" applyAlignment="1">
      <alignment horizontal="left" vertical="center"/>
    </xf>
    <xf numFmtId="0" fontId="0" fillId="3" borderId="9" xfId="0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0" fillId="4" borderId="9" xfId="0" applyFill="1" applyBorder="1" applyAlignment="1">
      <alignment vertical="center"/>
    </xf>
    <xf numFmtId="0" fontId="2" fillId="4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39" fillId="0" borderId="4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left" vertical="center" wrapText="1"/>
    </xf>
    <xf numFmtId="10" fontId="41" fillId="0" borderId="0" xfId="0" applyNumberFormat="1" applyFont="1" applyAlignment="1">
      <alignment vertical="center"/>
    </xf>
    <xf numFmtId="10" fontId="0" fillId="0" borderId="0" xfId="0" applyNumberFormat="1" applyAlignment="1">
      <alignment vertical="center"/>
    </xf>
    <xf numFmtId="4" fontId="41" fillId="0" borderId="0" xfId="0" applyNumberFormat="1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5" fillId="0" borderId="4" xfId="0" applyFont="1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4" fontId="45" fillId="0" borderId="0" xfId="0" applyNumberFormat="1" applyFont="1" applyAlignment="1">
      <alignment horizontal="left" vertical="center"/>
    </xf>
    <xf numFmtId="49" fontId="31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53" fillId="0" borderId="0" xfId="0" applyFont="1" applyAlignment="1">
      <alignment horizontal="right"/>
    </xf>
    <xf numFmtId="4" fontId="53" fillId="0" borderId="0" xfId="0" applyNumberFormat="1" applyFont="1"/>
    <xf numFmtId="0" fontId="53" fillId="0" borderId="0" xfId="0" applyFont="1"/>
    <xf numFmtId="4" fontId="0" fillId="5" borderId="21" xfId="0" applyNumberFormat="1" applyFill="1" applyBorder="1" applyAlignment="1" applyProtection="1">
      <alignment vertical="center"/>
      <protection locked="0"/>
    </xf>
    <xf numFmtId="4" fontId="25" fillId="5" borderId="21" xfId="0" applyNumberFormat="1" applyFont="1" applyFill="1" applyBorder="1" applyAlignment="1" applyProtection="1">
      <alignment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9" xfId="0" applyBorder="1" applyAlignment="1">
      <alignment vertical="center"/>
    </xf>
    <xf numFmtId="0" fontId="14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center"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20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right" vertical="center"/>
    </xf>
    <xf numFmtId="0" fontId="0" fillId="4" borderId="5" xfId="0" applyFill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4" fontId="5" fillId="0" borderId="18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4" fontId="6" fillId="0" borderId="18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4" fontId="17" fillId="0" borderId="0" xfId="0" applyNumberFormat="1" applyFont="1"/>
    <xf numFmtId="0" fontId="7" fillId="0" borderId="4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0" fillId="0" borderId="21" xfId="0" applyBorder="1" applyAlignment="1">
      <alignment horizontal="center" vertical="center"/>
    </xf>
    <xf numFmtId="49" fontId="0" fillId="0" borderId="21" xfId="0" applyNumberForma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166" fontId="0" fillId="0" borderId="21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6" fontId="8" fillId="0" borderId="0" xfId="0" applyNumberFormat="1" applyFont="1" applyAlignment="1">
      <alignment vertical="center"/>
    </xf>
    <xf numFmtId="0" fontId="9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166" fontId="9" fillId="0" borderId="0" xfId="0" applyNumberFormat="1" applyFont="1" applyAlignment="1">
      <alignment vertical="center"/>
    </xf>
    <xf numFmtId="0" fontId="25" fillId="0" borderId="21" xfId="0" applyFont="1" applyBorder="1" applyAlignment="1">
      <alignment horizontal="center" vertical="center"/>
    </xf>
    <xf numFmtId="49" fontId="25" fillId="0" borderId="21" xfId="0" applyNumberFormat="1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center" vertical="center" wrapText="1"/>
    </xf>
    <xf numFmtId="166" fontId="25" fillId="0" borderId="21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9" fontId="8" fillId="0" borderId="0" xfId="0" applyNumberFormat="1" applyFont="1" applyAlignment="1">
      <alignment horizontal="left" vertical="center" wrapText="1"/>
    </xf>
    <xf numFmtId="169" fontId="0" fillId="0" borderId="0" xfId="0" applyNumberFormat="1"/>
    <xf numFmtId="1" fontId="0" fillId="0" borderId="0" xfId="0" applyNumberFormat="1"/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 wrapText="1"/>
    </xf>
    <xf numFmtId="4" fontId="54" fillId="0" borderId="0" xfId="0" applyNumberFormat="1" applyFont="1"/>
    <xf numFmtId="0" fontId="54" fillId="0" borderId="0" xfId="0" applyFont="1"/>
    <xf numFmtId="0" fontId="31" fillId="0" borderId="0" xfId="0" applyFont="1" applyAlignment="1">
      <alignment vertical="center"/>
    </xf>
    <xf numFmtId="0" fontId="55" fillId="0" borderId="0" xfId="0" applyFont="1"/>
    <xf numFmtId="0" fontId="5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166" fontId="0" fillId="5" borderId="21" xfId="0" applyNumberFormat="1" applyFill="1" applyBorder="1" applyAlignment="1" applyProtection="1">
      <alignment vertical="center"/>
      <protection locked="0"/>
    </xf>
    <xf numFmtId="0" fontId="31" fillId="0" borderId="0" xfId="2" applyAlignment="1" applyProtection="1">
      <alignment vertical="top"/>
    </xf>
    <xf numFmtId="0" fontId="32" fillId="0" borderId="22" xfId="2" applyFont="1" applyBorder="1" applyAlignment="1" applyProtection="1">
      <alignment vertical="center" wrapText="1"/>
    </xf>
    <xf numFmtId="0" fontId="32" fillId="0" borderId="23" xfId="2" applyFont="1" applyBorder="1" applyAlignment="1" applyProtection="1">
      <alignment vertical="center" wrapText="1"/>
    </xf>
    <xf numFmtId="0" fontId="32" fillId="0" borderId="24" xfId="2" applyFont="1" applyBorder="1" applyAlignment="1" applyProtection="1">
      <alignment vertical="center" wrapText="1"/>
    </xf>
    <xf numFmtId="0" fontId="31" fillId="0" borderId="0" xfId="2" applyAlignment="1" applyProtection="1">
      <alignment horizontal="center" vertical="center"/>
    </xf>
    <xf numFmtId="0" fontId="32" fillId="0" borderId="25" xfId="2" applyFont="1" applyBorder="1" applyAlignment="1" applyProtection="1">
      <alignment horizontal="center" vertical="center" wrapText="1"/>
    </xf>
    <xf numFmtId="0" fontId="32" fillId="0" borderId="26" xfId="2" applyFont="1" applyBorder="1" applyAlignment="1" applyProtection="1">
      <alignment horizontal="center" vertical="center" wrapText="1"/>
    </xf>
    <xf numFmtId="0" fontId="32" fillId="0" borderId="25" xfId="2" applyFont="1" applyBorder="1" applyAlignment="1" applyProtection="1">
      <alignment vertical="center" wrapText="1"/>
    </xf>
    <xf numFmtId="0" fontId="32" fillId="0" borderId="26" xfId="2" applyFont="1" applyBorder="1" applyAlignment="1" applyProtection="1">
      <alignment vertical="center" wrapText="1"/>
    </xf>
    <xf numFmtId="0" fontId="34" fillId="0" borderId="0" xfId="2" applyFont="1" applyAlignment="1" applyProtection="1">
      <alignment horizontal="left" vertical="center" wrapText="1"/>
    </xf>
    <xf numFmtId="0" fontId="35" fillId="0" borderId="25" xfId="2" applyFont="1" applyBorder="1" applyAlignment="1" applyProtection="1">
      <alignment vertical="center" wrapText="1"/>
    </xf>
    <xf numFmtId="0" fontId="35" fillId="0" borderId="0" xfId="2" applyFont="1" applyAlignment="1" applyProtection="1">
      <alignment horizontal="left" vertical="center" wrapText="1"/>
    </xf>
    <xf numFmtId="0" fontId="35" fillId="0" borderId="0" xfId="2" applyFont="1" applyAlignment="1" applyProtection="1">
      <alignment vertical="center" wrapText="1"/>
    </xf>
    <xf numFmtId="0" fontId="35" fillId="0" borderId="0" xfId="2" applyFont="1" applyAlignment="1" applyProtection="1">
      <alignment vertical="center"/>
    </xf>
    <xf numFmtId="0" fontId="35" fillId="0" borderId="0" xfId="2" applyFont="1" applyAlignment="1" applyProtection="1">
      <alignment horizontal="left" vertical="center"/>
    </xf>
    <xf numFmtId="49" fontId="35" fillId="0" borderId="0" xfId="2" applyNumberFormat="1" applyFont="1" applyAlignment="1" applyProtection="1">
      <alignment vertical="center" wrapText="1"/>
    </xf>
    <xf numFmtId="0" fontId="32" fillId="0" borderId="28" xfId="2" applyFont="1" applyBorder="1" applyAlignment="1" applyProtection="1">
      <alignment vertical="center" wrapText="1"/>
    </xf>
    <xf numFmtId="0" fontId="38" fillId="0" borderId="27" xfId="2" applyFont="1" applyBorder="1" applyAlignment="1" applyProtection="1">
      <alignment vertical="center" wrapText="1"/>
    </xf>
    <xf numFmtId="0" fontId="32" fillId="0" borderId="29" xfId="2" applyFont="1" applyBorder="1" applyAlignment="1" applyProtection="1">
      <alignment vertical="center" wrapText="1"/>
    </xf>
    <xf numFmtId="0" fontId="32" fillId="0" borderId="0" xfId="2" applyFont="1" applyAlignment="1" applyProtection="1">
      <alignment vertical="top"/>
    </xf>
    <xf numFmtId="0" fontId="32" fillId="0" borderId="22" xfId="2" applyFont="1" applyBorder="1" applyAlignment="1" applyProtection="1">
      <alignment horizontal="left" vertical="center"/>
    </xf>
    <xf numFmtId="0" fontId="32" fillId="0" borderId="23" xfId="2" applyFont="1" applyBorder="1" applyAlignment="1" applyProtection="1">
      <alignment horizontal="left" vertical="center"/>
    </xf>
    <xf numFmtId="0" fontId="32" fillId="0" borderId="24" xfId="2" applyFont="1" applyBorder="1" applyAlignment="1" applyProtection="1">
      <alignment horizontal="left" vertical="center"/>
    </xf>
    <xf numFmtId="0" fontId="32" fillId="0" borderId="25" xfId="2" applyFont="1" applyBorder="1" applyAlignment="1" applyProtection="1">
      <alignment horizontal="left" vertical="center"/>
    </xf>
    <xf numFmtId="0" fontId="32" fillId="0" borderId="26" xfId="2" applyFont="1" applyBorder="1" applyAlignment="1" applyProtection="1">
      <alignment horizontal="left" vertical="center"/>
    </xf>
    <xf numFmtId="0" fontId="34" fillId="0" borderId="0" xfId="2" applyFont="1" applyAlignment="1" applyProtection="1">
      <alignment horizontal="left" vertical="center"/>
    </xf>
    <xf numFmtId="0" fontId="39" fillId="0" borderId="0" xfId="2" applyFont="1" applyAlignment="1" applyProtection="1">
      <alignment horizontal="left" vertical="center"/>
    </xf>
    <xf numFmtId="0" fontId="34" fillId="0" borderId="27" xfId="2" applyFont="1" applyBorder="1" applyAlignment="1" applyProtection="1">
      <alignment horizontal="left" vertical="center"/>
    </xf>
    <xf numFmtId="0" fontId="34" fillId="0" borderId="27" xfId="2" applyFont="1" applyBorder="1" applyAlignment="1" applyProtection="1">
      <alignment horizontal="center" vertical="center"/>
    </xf>
    <xf numFmtId="0" fontId="39" fillId="0" borderId="27" xfId="2" applyFont="1" applyBorder="1" applyAlignment="1" applyProtection="1">
      <alignment horizontal="left" vertical="center"/>
    </xf>
    <xf numFmtId="0" fontId="37" fillId="0" borderId="0" xfId="2" applyFont="1" applyAlignment="1" applyProtection="1">
      <alignment horizontal="left" vertical="center"/>
    </xf>
    <xf numFmtId="0" fontId="35" fillId="0" borderId="0" xfId="2" applyFont="1" applyAlignment="1" applyProtection="1">
      <alignment horizontal="center" vertical="center"/>
    </xf>
    <xf numFmtId="0" fontId="35" fillId="0" borderId="25" xfId="2" applyFont="1" applyBorder="1" applyAlignment="1" applyProtection="1">
      <alignment horizontal="left" vertical="center"/>
    </xf>
    <xf numFmtId="0" fontId="32" fillId="0" borderId="28" xfId="2" applyFont="1" applyBorder="1" applyAlignment="1" applyProtection="1">
      <alignment horizontal="left" vertical="center"/>
    </xf>
    <xf numFmtId="0" fontId="38" fillId="0" borderId="27" xfId="2" applyFont="1" applyBorder="1" applyAlignment="1" applyProtection="1">
      <alignment horizontal="left" vertical="center"/>
    </xf>
    <xf numFmtId="0" fontId="32" fillId="0" borderId="29" xfId="2" applyFont="1" applyBorder="1" applyAlignment="1" applyProtection="1">
      <alignment horizontal="left" vertical="center"/>
    </xf>
    <xf numFmtId="0" fontId="32" fillId="0" borderId="0" xfId="2" applyFont="1" applyAlignment="1" applyProtection="1">
      <alignment horizontal="left" vertical="center"/>
    </xf>
    <xf numFmtId="0" fontId="38" fillId="0" borderId="0" xfId="2" applyFont="1" applyAlignment="1" applyProtection="1">
      <alignment horizontal="left" vertical="center"/>
    </xf>
    <xf numFmtId="0" fontId="35" fillId="0" borderId="27" xfId="2" applyFont="1" applyBorder="1" applyAlignment="1" applyProtection="1">
      <alignment horizontal="left" vertical="center"/>
    </xf>
    <xf numFmtId="0" fontId="32" fillId="0" borderId="0" xfId="2" applyFont="1" applyAlignment="1" applyProtection="1">
      <alignment horizontal="left" vertical="center" wrapText="1"/>
    </xf>
    <xf numFmtId="0" fontId="35" fillId="0" borderId="0" xfId="2" applyFont="1" applyAlignment="1" applyProtection="1">
      <alignment horizontal="center" vertical="center" wrapText="1"/>
    </xf>
    <xf numFmtId="0" fontId="32" fillId="0" borderId="22" xfId="2" applyFont="1" applyBorder="1" applyAlignment="1" applyProtection="1">
      <alignment horizontal="left" vertical="center" wrapText="1"/>
    </xf>
    <xf numFmtId="0" fontId="32" fillId="0" borderId="23" xfId="2" applyFont="1" applyBorder="1" applyAlignment="1" applyProtection="1">
      <alignment horizontal="left" vertical="center" wrapText="1"/>
    </xf>
    <xf numFmtId="0" fontId="32" fillId="0" borderId="24" xfId="2" applyFont="1" applyBorder="1" applyAlignment="1" applyProtection="1">
      <alignment horizontal="left" vertical="center" wrapText="1"/>
    </xf>
    <xf numFmtId="0" fontId="32" fillId="0" borderId="25" xfId="2" applyFont="1" applyBorder="1" applyAlignment="1" applyProtection="1">
      <alignment horizontal="left" vertical="center" wrapText="1"/>
    </xf>
    <xf numFmtId="0" fontId="32" fillId="0" borderId="26" xfId="2" applyFont="1" applyBorder="1" applyAlignment="1" applyProtection="1">
      <alignment horizontal="left" vertical="center" wrapText="1"/>
    </xf>
    <xf numFmtId="0" fontId="39" fillId="0" borderId="25" xfId="2" applyFont="1" applyBorder="1" applyAlignment="1" applyProtection="1">
      <alignment horizontal="left" vertical="center" wrapText="1"/>
    </xf>
    <xf numFmtId="0" fontId="39" fillId="0" borderId="26" xfId="2" applyFont="1" applyBorder="1" applyAlignment="1" applyProtection="1">
      <alignment horizontal="left" vertical="center" wrapText="1"/>
    </xf>
    <xf numFmtId="0" fontId="35" fillId="0" borderId="25" xfId="2" applyFont="1" applyBorder="1" applyAlignment="1" applyProtection="1">
      <alignment horizontal="left" vertical="center" wrapText="1"/>
    </xf>
    <xf numFmtId="0" fontId="35" fillId="0" borderId="26" xfId="2" applyFont="1" applyBorder="1" applyAlignment="1" applyProtection="1">
      <alignment horizontal="left" vertical="center" wrapText="1"/>
    </xf>
    <xf numFmtId="0" fontId="35" fillId="0" borderId="26" xfId="2" applyFont="1" applyBorder="1" applyAlignment="1" applyProtection="1">
      <alignment horizontal="left" vertical="center"/>
    </xf>
    <xf numFmtId="0" fontId="35" fillId="0" borderId="28" xfId="2" applyFont="1" applyBorder="1" applyAlignment="1" applyProtection="1">
      <alignment horizontal="left" vertical="center" wrapText="1"/>
    </xf>
    <xf numFmtId="0" fontId="35" fillId="0" borderId="27" xfId="2" applyFont="1" applyBorder="1" applyAlignment="1" applyProtection="1">
      <alignment horizontal="left" vertical="center" wrapText="1"/>
    </xf>
    <xf numFmtId="0" fontId="35" fillId="0" borderId="29" xfId="2" applyFont="1" applyBorder="1" applyAlignment="1" applyProtection="1">
      <alignment horizontal="left" vertical="center" wrapText="1"/>
    </xf>
    <xf numFmtId="0" fontId="35" fillId="0" borderId="0" xfId="2" applyFont="1" applyAlignment="1" applyProtection="1">
      <alignment horizontal="left" vertical="top"/>
    </xf>
    <xf numFmtId="0" fontId="35" fillId="0" borderId="0" xfId="2" applyFont="1" applyAlignment="1" applyProtection="1">
      <alignment horizontal="center" vertical="top"/>
    </xf>
    <xf numFmtId="0" fontId="35" fillId="0" borderId="28" xfId="2" applyFont="1" applyBorder="1" applyAlignment="1" applyProtection="1">
      <alignment horizontal="left" vertical="center"/>
    </xf>
    <xf numFmtId="0" fontId="35" fillId="0" borderId="29" xfId="2" applyFont="1" applyBorder="1" applyAlignment="1" applyProtection="1">
      <alignment horizontal="left" vertical="center"/>
    </xf>
    <xf numFmtId="0" fontId="39" fillId="0" borderId="0" xfId="2" applyFont="1" applyAlignment="1" applyProtection="1">
      <alignment vertical="center"/>
    </xf>
    <xf numFmtId="0" fontId="34" fillId="0" borderId="0" xfId="2" applyFont="1" applyAlignment="1" applyProtection="1">
      <alignment vertical="center"/>
    </xf>
    <xf numFmtId="0" fontId="39" fillId="0" borderId="27" xfId="2" applyFont="1" applyBorder="1" applyAlignment="1" applyProtection="1">
      <alignment vertical="center"/>
    </xf>
    <xf numFmtId="0" fontId="34" fillId="0" borderId="27" xfId="2" applyFont="1" applyBorder="1" applyAlignment="1" applyProtection="1">
      <alignment vertical="center"/>
    </xf>
    <xf numFmtId="49" fontId="35" fillId="0" borderId="0" xfId="2" applyNumberFormat="1" applyFont="1" applyAlignment="1" applyProtection="1">
      <alignment horizontal="left" vertical="center"/>
    </xf>
    <xf numFmtId="0" fontId="31" fillId="0" borderId="27" xfId="2" applyBorder="1" applyAlignment="1" applyProtection="1">
      <alignment vertical="top"/>
    </xf>
    <xf numFmtId="0" fontId="34" fillId="0" borderId="27" xfId="2" applyFont="1" applyBorder="1" applyAlignment="1" applyProtection="1">
      <alignment horizontal="left"/>
    </xf>
    <xf numFmtId="0" fontId="39" fillId="0" borderId="27" xfId="2" applyFont="1" applyBorder="1" applyAlignment="1" applyProtection="1"/>
    <xf numFmtId="0" fontId="32" fillId="0" borderId="25" xfId="2" applyFont="1" applyBorder="1" applyAlignment="1" applyProtection="1">
      <alignment vertical="top"/>
    </xf>
    <xf numFmtId="0" fontId="32" fillId="0" borderId="26" xfId="2" applyFont="1" applyBorder="1" applyAlignment="1" applyProtection="1">
      <alignment vertical="top"/>
    </xf>
    <xf numFmtId="0" fontId="32" fillId="0" borderId="0" xfId="2" applyFont="1" applyAlignment="1" applyProtection="1">
      <alignment horizontal="center" vertical="center"/>
    </xf>
    <xf numFmtId="0" fontId="32" fillId="0" borderId="0" xfId="2" applyFont="1" applyAlignment="1" applyProtection="1">
      <alignment horizontal="left" vertical="top"/>
    </xf>
    <xf numFmtId="0" fontId="32" fillId="0" borderId="28" xfId="2" applyFont="1" applyBorder="1" applyAlignment="1" applyProtection="1">
      <alignment vertical="top"/>
    </xf>
    <xf numFmtId="0" fontId="32" fillId="0" borderId="27" xfId="2" applyFont="1" applyBorder="1" applyAlignment="1" applyProtection="1">
      <alignment vertical="top"/>
    </xf>
    <xf numFmtId="0" fontId="32" fillId="0" borderId="29" xfId="2" applyFont="1" applyBorder="1" applyAlignment="1" applyProtection="1">
      <alignment vertical="top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/>
    </xf>
    <xf numFmtId="4" fontId="43" fillId="0" borderId="0" xfId="0" applyNumberFormat="1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55" fillId="0" borderId="4" xfId="0" applyFont="1" applyBorder="1"/>
    <xf numFmtId="0" fontId="55" fillId="0" borderId="14" xfId="0" applyFont="1" applyBorder="1"/>
    <xf numFmtId="0" fontId="55" fillId="0" borderId="14" xfId="0" applyFont="1" applyBorder="1" applyAlignment="1">
      <alignment horizontal="left"/>
    </xf>
    <xf numFmtId="0" fontId="55" fillId="0" borderId="14" xfId="3" applyFont="1" applyBorder="1" applyAlignment="1">
      <alignment wrapText="1"/>
    </xf>
    <xf numFmtId="49" fontId="55" fillId="0" borderId="14" xfId="3" applyNumberFormat="1" applyFont="1" applyBorder="1" applyAlignment="1">
      <alignment horizontal="center" shrinkToFit="1"/>
    </xf>
    <xf numFmtId="166" fontId="55" fillId="0" borderId="14" xfId="3" applyNumberFormat="1" applyFont="1" applyBorder="1" applyAlignment="1">
      <alignment horizontal="right"/>
    </xf>
    <xf numFmtId="4" fontId="55" fillId="0" borderId="14" xfId="3" applyNumberFormat="1" applyFont="1" applyBorder="1" applyAlignment="1">
      <alignment horizontal="right"/>
    </xf>
    <xf numFmtId="4" fontId="55" fillId="0" borderId="14" xfId="0" applyNumberFormat="1" applyFont="1" applyBorder="1"/>
    <xf numFmtId="0" fontId="31" fillId="0" borderId="4" xfId="0" applyFont="1" applyBorder="1" applyAlignment="1">
      <alignment vertical="center"/>
    </xf>
    <xf numFmtId="0" fontId="31" fillId="0" borderId="21" xfId="3" applyFont="1" applyBorder="1" applyAlignment="1">
      <alignment vertical="center" wrapText="1"/>
    </xf>
    <xf numFmtId="49" fontId="31" fillId="0" borderId="21" xfId="3" applyNumberFormat="1" applyFont="1" applyBorder="1" applyAlignment="1">
      <alignment horizontal="center" vertical="center" shrinkToFit="1"/>
    </xf>
    <xf numFmtId="166" fontId="31" fillId="0" borderId="21" xfId="3" applyNumberFormat="1" applyFont="1" applyBorder="1" applyAlignment="1">
      <alignment horizontal="right" vertical="center"/>
    </xf>
    <xf numFmtId="0" fontId="31" fillId="0" borderId="21" xfId="0" applyFont="1" applyBorder="1" applyAlignment="1">
      <alignment horizontal="center" vertical="center"/>
    </xf>
    <xf numFmtId="49" fontId="31" fillId="0" borderId="21" xfId="0" applyNumberFormat="1" applyFont="1" applyBorder="1" applyAlignment="1">
      <alignment horizontal="left" vertical="center" wrapText="1"/>
    </xf>
    <xf numFmtId="0" fontId="55" fillId="0" borderId="21" xfId="3" applyFont="1" applyBorder="1" applyAlignment="1">
      <alignment wrapText="1"/>
    </xf>
    <xf numFmtId="4" fontId="31" fillId="0" borderId="21" xfId="3" applyNumberFormat="1" applyFont="1" applyBorder="1" applyAlignment="1">
      <alignment horizontal="right" vertical="center"/>
    </xf>
    <xf numFmtId="0" fontId="56" fillId="0" borderId="4" xfId="0" applyFont="1" applyBorder="1" applyAlignment="1">
      <alignment vertical="center"/>
    </xf>
    <xf numFmtId="0" fontId="0" fillId="0" borderId="33" xfId="0" applyBorder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0" fontId="6" fillId="0" borderId="0" xfId="0" applyFont="1"/>
    <xf numFmtId="167" fontId="31" fillId="0" borderId="21" xfId="0" applyNumberFormat="1" applyFont="1" applyBorder="1" applyAlignment="1">
      <alignment horizontal="left" vertical="center"/>
    </xf>
    <xf numFmtId="49" fontId="31" fillId="0" borderId="21" xfId="0" applyNumberFormat="1" applyFont="1" applyBorder="1" applyAlignment="1">
      <alignment vertical="center"/>
    </xf>
    <xf numFmtId="49" fontId="31" fillId="0" borderId="21" xfId="0" applyNumberFormat="1" applyFont="1" applyBorder="1" applyAlignment="1">
      <alignment horizontal="center" vertical="center"/>
    </xf>
    <xf numFmtId="168" fontId="31" fillId="0" borderId="21" xfId="0" applyNumberFormat="1" applyFont="1" applyBorder="1" applyAlignment="1">
      <alignment vertical="center"/>
    </xf>
    <xf numFmtId="0" fontId="31" fillId="0" borderId="21" xfId="0" applyFont="1" applyBorder="1" applyAlignment="1">
      <alignment vertical="center"/>
    </xf>
    <xf numFmtId="2" fontId="31" fillId="0" borderId="21" xfId="0" applyNumberFormat="1" applyFont="1" applyBorder="1" applyAlignment="1">
      <alignment horizontal="center" vertical="center"/>
    </xf>
    <xf numFmtId="4" fontId="31" fillId="0" borderId="21" xfId="0" applyNumberFormat="1" applyFont="1" applyBorder="1" applyAlignment="1">
      <alignment vertical="center"/>
    </xf>
    <xf numFmtId="0" fontId="31" fillId="0" borderId="21" xfId="0" applyFont="1" applyBorder="1" applyAlignment="1">
      <alignment vertical="center" wrapText="1"/>
    </xf>
    <xf numFmtId="0" fontId="6" fillId="0" borderId="0" xfId="0" applyFont="1" applyAlignment="1">
      <alignment horizontal="left" wrapText="1"/>
    </xf>
    <xf numFmtId="49" fontId="31" fillId="0" borderId="15" xfId="0" applyNumberFormat="1" applyFont="1" applyBorder="1" applyAlignment="1">
      <alignment horizontal="left" vertical="center" wrapText="1"/>
    </xf>
    <xf numFmtId="49" fontId="57" fillId="0" borderId="34" xfId="0" applyNumberFormat="1" applyFont="1" applyBorder="1" applyAlignment="1">
      <alignment horizontal="left" vertical="center" wrapText="1"/>
    </xf>
    <xf numFmtId="49" fontId="57" fillId="0" borderId="34" xfId="0" applyNumberFormat="1" applyFont="1" applyBorder="1" applyAlignment="1">
      <alignment horizontal="center" vertical="center"/>
    </xf>
    <xf numFmtId="166" fontId="57" fillId="0" borderId="34" xfId="0" applyNumberFormat="1" applyFont="1" applyBorder="1" applyAlignment="1">
      <alignment horizontal="right" vertical="center"/>
    </xf>
    <xf numFmtId="4" fontId="0" fillId="0" borderId="17" xfId="0" applyNumberFormat="1" applyBorder="1" applyAlignment="1">
      <alignment vertical="center"/>
    </xf>
    <xf numFmtId="166" fontId="31" fillId="5" borderId="21" xfId="3" applyNumberFormat="1" applyFont="1" applyFill="1" applyBorder="1" applyAlignment="1" applyProtection="1">
      <alignment horizontal="right" vertical="center"/>
      <protection locked="0"/>
    </xf>
    <xf numFmtId="4" fontId="31" fillId="5" borderId="21" xfId="0" applyNumberFormat="1" applyFont="1" applyFill="1" applyBorder="1" applyAlignment="1" applyProtection="1">
      <alignment vertical="center"/>
      <protection locked="0"/>
    </xf>
    <xf numFmtId="168" fontId="31" fillId="5" borderId="21" xfId="0" applyNumberFormat="1" applyFont="1" applyFill="1" applyBorder="1" applyAlignment="1" applyProtection="1">
      <alignment vertical="center"/>
      <protection locked="0"/>
    </xf>
    <xf numFmtId="4" fontId="31" fillId="6" borderId="21" xfId="0" applyNumberFormat="1" applyFont="1" applyFill="1" applyBorder="1" applyAlignment="1" applyProtection="1">
      <alignment vertical="center"/>
      <protection locked="0"/>
    </xf>
    <xf numFmtId="0" fontId="31" fillId="0" borderId="21" xfId="0" applyFont="1" applyBorder="1" applyAlignment="1">
      <alignment horizontal="left" vertical="center" wrapText="1"/>
    </xf>
    <xf numFmtId="4" fontId="57" fillId="5" borderId="34" xfId="0" applyNumberFormat="1" applyFont="1" applyFill="1" applyBorder="1" applyAlignment="1" applyProtection="1">
      <alignment horizontal="right" vertical="center"/>
      <protection locked="0"/>
    </xf>
    <xf numFmtId="0" fontId="59" fillId="0" borderId="0" xfId="0" applyFont="1" applyAlignment="1">
      <alignment vertical="center"/>
    </xf>
    <xf numFmtId="0" fontId="60" fillId="0" borderId="4" xfId="0" applyFont="1" applyBorder="1" applyAlignment="1">
      <alignment vertical="center"/>
    </xf>
    <xf numFmtId="0" fontId="60" fillId="0" borderId="0" xfId="0" applyFont="1" applyAlignment="1">
      <alignment horizontal="left" vertical="center"/>
    </xf>
    <xf numFmtId="0" fontId="60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left" vertical="top"/>
    </xf>
    <xf numFmtId="4" fontId="43" fillId="5" borderId="35" xfId="0" applyNumberFormat="1" applyFont="1" applyFill="1" applyBorder="1" applyAlignment="1" applyProtection="1">
      <alignment vertical="center"/>
      <protection locked="0"/>
    </xf>
    <xf numFmtId="0" fontId="43" fillId="0" borderId="35" xfId="0" applyFont="1" applyBorder="1" applyAlignment="1">
      <alignment vertical="center"/>
    </xf>
    <xf numFmtId="0" fontId="22" fillId="4" borderId="16" xfId="0" applyFont="1" applyFill="1" applyBorder="1" applyAlignment="1">
      <alignment horizontal="right" vertical="center" wrapText="1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61" fillId="0" borderId="0" xfId="0" applyFont="1"/>
    <xf numFmtId="0" fontId="61" fillId="0" borderId="0" xfId="0" applyFont="1" applyAlignment="1">
      <alignment vertical="center"/>
    </xf>
    <xf numFmtId="0" fontId="61" fillId="0" borderId="0" xfId="0" applyFont="1" applyAlignment="1">
      <alignment horizontal="left" vertical="center"/>
    </xf>
    <xf numFmtId="0" fontId="62" fillId="0" borderId="0" xfId="0" applyFont="1" applyAlignment="1">
      <alignment horizontal="left" vertical="center"/>
    </xf>
    <xf numFmtId="0" fontId="63" fillId="0" borderId="0" xfId="0" applyFont="1"/>
    <xf numFmtId="166" fontId="0" fillId="0" borderId="0" xfId="0" applyNumberFormat="1" applyAlignment="1">
      <alignment vertical="center"/>
    </xf>
    <xf numFmtId="0" fontId="0" fillId="0" borderId="21" xfId="0" applyBorder="1" applyAlignment="1" applyProtection="1">
      <alignment horizontal="center" vertical="center"/>
      <protection locked="0"/>
    </xf>
    <xf numFmtId="49" fontId="0" fillId="0" borderId="21" xfId="0" applyNumberFormat="1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0" fontId="29" fillId="0" borderId="0" xfId="0" applyFont="1"/>
    <xf numFmtId="0" fontId="64" fillId="0" borderId="0" xfId="0" applyFont="1" applyAlignment="1">
      <alignment vertical="center"/>
    </xf>
    <xf numFmtId="0" fontId="65" fillId="0" borderId="37" xfId="0" applyFont="1" applyBorder="1" applyAlignment="1" applyProtection="1">
      <alignment horizontal="center" vertical="center"/>
      <protection locked="0"/>
    </xf>
    <xf numFmtId="49" fontId="65" fillId="0" borderId="37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66" fillId="0" borderId="21" xfId="0" applyFont="1" applyBorder="1" applyAlignment="1" applyProtection="1">
      <alignment horizontal="center" vertical="center"/>
      <protection locked="0"/>
    </xf>
    <xf numFmtId="49" fontId="66" fillId="0" borderId="21" xfId="0" applyNumberFormat="1" applyFont="1" applyBorder="1" applyAlignment="1" applyProtection="1">
      <alignment horizontal="left" vertical="center" wrapText="1"/>
      <protection locked="0"/>
    </xf>
    <xf numFmtId="0" fontId="66" fillId="0" borderId="21" xfId="0" applyFont="1" applyBorder="1" applyAlignment="1" applyProtection="1">
      <alignment horizontal="left" vertical="center" wrapText="1"/>
      <protection locked="0"/>
    </xf>
    <xf numFmtId="0" fontId="66" fillId="0" borderId="21" xfId="0" applyFont="1" applyBorder="1" applyAlignment="1" applyProtection="1">
      <alignment horizontal="center" vertical="center" wrapText="1"/>
      <protection locked="0"/>
    </xf>
    <xf numFmtId="166" fontId="66" fillId="0" borderId="21" xfId="0" applyNumberFormat="1" applyFont="1" applyBorder="1" applyAlignment="1" applyProtection="1">
      <alignment vertical="center"/>
      <protection locked="0"/>
    </xf>
    <xf numFmtId="0" fontId="25" fillId="0" borderId="21" xfId="3" applyFont="1" applyBorder="1" applyAlignment="1">
      <alignment vertical="center" wrapText="1"/>
    </xf>
    <xf numFmtId="49" fontId="25" fillId="0" borderId="21" xfId="3" applyNumberFormat="1" applyFont="1" applyBorder="1" applyAlignment="1">
      <alignment horizontal="center" vertical="center" shrinkToFit="1"/>
    </xf>
    <xf numFmtId="166" fontId="25" fillId="0" borderId="21" xfId="3" applyNumberFormat="1" applyFont="1" applyBorder="1" applyAlignment="1">
      <alignment horizontal="right" vertical="center"/>
    </xf>
    <xf numFmtId="0" fontId="55" fillId="0" borderId="0" xfId="0" applyFont="1" applyAlignment="1">
      <alignment horizontal="left"/>
    </xf>
    <xf numFmtId="0" fontId="25" fillId="0" borderId="21" xfId="0" applyFont="1" applyBorder="1" applyAlignment="1">
      <alignment vertical="center"/>
    </xf>
    <xf numFmtId="168" fontId="25" fillId="0" borderId="21" xfId="0" applyNumberFormat="1" applyFont="1" applyBorder="1" applyAlignment="1">
      <alignment horizontal="right" vertical="center"/>
    </xf>
    <xf numFmtId="168" fontId="25" fillId="0" borderId="21" xfId="0" applyNumberFormat="1" applyFont="1" applyBorder="1" applyAlignment="1">
      <alignment vertical="center"/>
    </xf>
    <xf numFmtId="168" fontId="31" fillId="0" borderId="21" xfId="0" applyNumberFormat="1" applyFont="1" applyBorder="1" applyAlignment="1">
      <alignment horizontal="right" vertical="center"/>
    </xf>
    <xf numFmtId="168" fontId="25" fillId="5" borderId="21" xfId="0" applyNumberFormat="1" applyFont="1" applyFill="1" applyBorder="1" applyAlignment="1" applyProtection="1">
      <alignment vertical="center"/>
      <protection locked="0"/>
    </xf>
    <xf numFmtId="4" fontId="0" fillId="0" borderId="0" xfId="0" applyNumberFormat="1" applyAlignment="1">
      <alignment vertical="center"/>
    </xf>
    <xf numFmtId="0" fontId="25" fillId="0" borderId="21" xfId="0" applyFont="1" applyBorder="1" applyAlignment="1">
      <alignment vertical="center" wrapText="1"/>
    </xf>
    <xf numFmtId="0" fontId="55" fillId="0" borderId="18" xfId="0" applyFont="1" applyBorder="1" applyAlignment="1">
      <alignment horizontal="left"/>
    </xf>
    <xf numFmtId="0" fontId="50" fillId="0" borderId="0" xfId="0" applyFont="1" applyAlignment="1">
      <alignment vertical="center"/>
    </xf>
    <xf numFmtId="0" fontId="69" fillId="0" borderId="4" xfId="0" applyFont="1" applyBorder="1" applyAlignment="1">
      <alignment vertical="center"/>
    </xf>
    <xf numFmtId="0" fontId="69" fillId="0" borderId="21" xfId="0" applyFont="1" applyBorder="1" applyAlignment="1">
      <alignment horizontal="center" vertical="center"/>
    </xf>
    <xf numFmtId="49" fontId="69" fillId="0" borderId="15" xfId="0" applyNumberFormat="1" applyFont="1" applyBorder="1" applyAlignment="1">
      <alignment horizontal="left" vertical="center" wrapText="1"/>
    </xf>
    <xf numFmtId="49" fontId="69" fillId="0" borderId="34" xfId="0" applyNumberFormat="1" applyFont="1" applyBorder="1" applyAlignment="1">
      <alignment horizontal="left" vertical="center" wrapText="1"/>
    </xf>
    <xf numFmtId="49" fontId="69" fillId="0" borderId="34" xfId="0" applyNumberFormat="1" applyFont="1" applyBorder="1" applyAlignment="1">
      <alignment horizontal="center" vertical="center"/>
    </xf>
    <xf numFmtId="166" fontId="69" fillId="0" borderId="34" xfId="0" applyNumberFormat="1" applyFont="1" applyBorder="1" applyAlignment="1">
      <alignment horizontal="right" vertical="center"/>
    </xf>
    <xf numFmtId="4" fontId="69" fillId="5" borderId="34" xfId="0" applyNumberFormat="1" applyFont="1" applyFill="1" applyBorder="1" applyAlignment="1" applyProtection="1">
      <alignment horizontal="right" vertical="center"/>
      <protection locked="0"/>
    </xf>
    <xf numFmtId="4" fontId="69" fillId="0" borderId="17" xfId="0" applyNumberFormat="1" applyFont="1" applyBorder="1" applyAlignment="1">
      <alignment vertical="center"/>
    </xf>
    <xf numFmtId="0" fontId="69" fillId="0" borderId="21" xfId="0" applyFont="1" applyBorder="1" applyAlignment="1">
      <alignment horizontal="left" vertical="center" wrapText="1"/>
    </xf>
    <xf numFmtId="0" fontId="6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70" fontId="31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166" fontId="0" fillId="7" borderId="0" xfId="0" applyNumberFormat="1" applyFill="1" applyAlignment="1">
      <alignment vertical="center"/>
    </xf>
    <xf numFmtId="166" fontId="0" fillId="0" borderId="21" xfId="0" applyNumberFormat="1" applyBorder="1" applyAlignment="1" applyProtection="1">
      <alignment vertical="center"/>
      <protection locked="0"/>
    </xf>
    <xf numFmtId="0" fontId="2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49" fontId="25" fillId="0" borderId="21" xfId="0" applyNumberFormat="1" applyFont="1" applyBorder="1" applyAlignment="1">
      <alignment horizontal="center" vertical="center"/>
    </xf>
    <xf numFmtId="49" fontId="25" fillId="0" borderId="21" xfId="0" applyNumberFormat="1" applyFont="1" applyBorder="1" applyAlignment="1">
      <alignment vertical="center"/>
    </xf>
    <xf numFmtId="4" fontId="50" fillId="0" borderId="21" xfId="3" applyNumberFormat="1" applyFont="1" applyBorder="1" applyAlignment="1">
      <alignment horizontal="right" vertical="center"/>
    </xf>
    <xf numFmtId="166" fontId="50" fillId="5" borderId="21" xfId="3" applyNumberFormat="1" applyFont="1" applyFill="1" applyBorder="1" applyAlignment="1" applyProtection="1">
      <alignment horizontal="right" vertical="center"/>
      <protection locked="0"/>
    </xf>
    <xf numFmtId="4" fontId="57" fillId="0" borderId="34" xfId="0" applyNumberFormat="1" applyFont="1" applyBorder="1" applyAlignment="1">
      <alignment horizontal="right" vertical="center"/>
    </xf>
    <xf numFmtId="2" fontId="31" fillId="0" borderId="21" xfId="0" applyNumberFormat="1" applyFont="1" applyBorder="1" applyAlignment="1">
      <alignment vertical="center"/>
    </xf>
    <xf numFmtId="2" fontId="25" fillId="0" borderId="21" xfId="0" applyNumberFormat="1" applyFont="1" applyBorder="1" applyAlignment="1">
      <alignment vertical="center"/>
    </xf>
    <xf numFmtId="0" fontId="25" fillId="0" borderId="21" xfId="0" applyFont="1" applyBorder="1" applyAlignment="1" applyProtection="1">
      <alignment horizontal="center" vertical="center"/>
      <protection locked="0"/>
    </xf>
    <xf numFmtId="49" fontId="25" fillId="0" borderId="21" xfId="0" applyNumberFormat="1" applyFont="1" applyBorder="1" applyAlignment="1" applyProtection="1">
      <alignment horizontal="left" vertical="center" wrapText="1"/>
      <protection locked="0"/>
    </xf>
    <xf numFmtId="0" fontId="25" fillId="0" borderId="21" xfId="0" applyFont="1" applyBorder="1" applyAlignment="1" applyProtection="1">
      <alignment horizontal="left" vertical="center" wrapText="1"/>
      <protection locked="0"/>
    </xf>
    <xf numFmtId="0" fontId="25" fillId="0" borderId="2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44" fillId="0" borderId="0" xfId="0" applyFont="1"/>
    <xf numFmtId="0" fontId="3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left" vertical="center" wrapText="1"/>
    </xf>
    <xf numFmtId="4" fontId="14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3" borderId="9" xfId="0" applyFont="1" applyFill="1" applyBorder="1" applyAlignment="1">
      <alignment horizontal="left" vertical="center"/>
    </xf>
    <xf numFmtId="0" fontId="0" fillId="3" borderId="9" xfId="0" applyFill="1" applyBorder="1" applyAlignment="1">
      <alignment vertical="center"/>
    </xf>
    <xf numFmtId="4" fontId="3" fillId="3" borderId="9" xfId="0" applyNumberFormat="1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4" fontId="17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0" fontId="0" fillId="4" borderId="9" xfId="0" applyFill="1" applyBorder="1" applyAlignment="1">
      <alignment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right" vertical="center"/>
    </xf>
    <xf numFmtId="0" fontId="40" fillId="0" borderId="0" xfId="0" applyFont="1" applyAlignment="1">
      <alignment horizontal="left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/>
    </xf>
    <xf numFmtId="0" fontId="43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3" fillId="0" borderId="35" xfId="0" applyFont="1" applyBorder="1" applyAlignment="1">
      <alignment horizontal="left" vertical="center" wrapText="1"/>
    </xf>
    <xf numFmtId="0" fontId="43" fillId="0" borderId="35" xfId="0" applyFont="1" applyBorder="1" applyAlignment="1">
      <alignment vertical="center"/>
    </xf>
    <xf numFmtId="4" fontId="43" fillId="0" borderId="35" xfId="0" applyNumberFormat="1" applyFont="1" applyBorder="1" applyAlignment="1">
      <alignment vertical="center"/>
    </xf>
    <xf numFmtId="4" fontId="0" fillId="0" borderId="35" xfId="0" applyNumberFormat="1" applyBorder="1" applyAlignment="1">
      <alignment vertical="center"/>
    </xf>
    <xf numFmtId="0" fontId="43" fillId="0" borderId="30" xfId="0" applyFont="1" applyBorder="1" applyAlignment="1">
      <alignment horizontal="left"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8" fontId="43" fillId="0" borderId="30" xfId="0" applyNumberFormat="1" applyFont="1" applyBorder="1" applyAlignment="1">
      <alignment vertical="center"/>
    </xf>
    <xf numFmtId="168" fontId="0" fillId="0" borderId="31" xfId="0" applyNumberFormat="1" applyBorder="1" applyAlignment="1">
      <alignment vertical="center"/>
    </xf>
    <xf numFmtId="168" fontId="0" fillId="0" borderId="32" xfId="0" applyNumberFormat="1" applyBorder="1" applyAlignment="1">
      <alignment vertical="center"/>
    </xf>
    <xf numFmtId="4" fontId="43" fillId="0" borderId="0" xfId="0" applyNumberFormat="1" applyFont="1" applyAlignment="1">
      <alignment vertical="center"/>
    </xf>
    <xf numFmtId="0" fontId="58" fillId="0" borderId="0" xfId="0" applyFont="1" applyAlignment="1">
      <alignment horizontal="left" vertical="center"/>
    </xf>
    <xf numFmtId="4" fontId="3" fillId="3" borderId="10" xfId="0" applyNumberFormat="1" applyFont="1" applyFill="1" applyBorder="1" applyAlignment="1">
      <alignment vertical="center"/>
    </xf>
    <xf numFmtId="0" fontId="43" fillId="0" borderId="0" xfId="0" applyFont="1" applyAlignment="1">
      <alignment vertical="center" wrapText="1"/>
    </xf>
    <xf numFmtId="0" fontId="2" fillId="4" borderId="36" xfId="0" applyFont="1" applyFill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2" fillId="4" borderId="36" xfId="0" applyFont="1" applyFill="1" applyBorder="1" applyAlignment="1">
      <alignment horizontal="right" vertical="center" wrapText="1"/>
    </xf>
    <xf numFmtId="0" fontId="0" fillId="0" borderId="36" xfId="0" applyBorder="1" applyAlignment="1">
      <alignment horizontal="right" vertical="center" wrapText="1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0" fillId="0" borderId="0" xfId="0" applyFont="1" applyAlignment="1">
      <alignment horizontal="left" vertical="center" wrapText="1"/>
    </xf>
    <xf numFmtId="0" fontId="60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30" fillId="2" borderId="0" xfId="1" applyFont="1" applyFill="1" applyAlignment="1" applyProtection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5" fillId="0" borderId="0" xfId="2" applyFont="1" applyAlignment="1" applyProtection="1">
      <alignment horizontal="left" vertical="center" wrapText="1"/>
    </xf>
    <xf numFmtId="0" fontId="33" fillId="0" borderId="0" xfId="2" applyFont="1" applyAlignment="1" applyProtection="1">
      <alignment horizontal="center" vertical="center" wrapText="1"/>
    </xf>
    <xf numFmtId="0" fontId="34" fillId="0" borderId="27" xfId="2" applyFont="1" applyBorder="1" applyAlignment="1" applyProtection="1">
      <alignment horizontal="left" wrapText="1"/>
    </xf>
    <xf numFmtId="0" fontId="33" fillId="0" borderId="0" xfId="2" applyFont="1" applyAlignment="1" applyProtection="1">
      <alignment horizontal="center" vertical="center"/>
    </xf>
    <xf numFmtId="49" fontId="35" fillId="0" borderId="0" xfId="2" applyNumberFormat="1" applyFont="1" applyAlignment="1" applyProtection="1">
      <alignment horizontal="left" vertical="center" wrapText="1"/>
    </xf>
    <xf numFmtId="0" fontId="35" fillId="0" borderId="0" xfId="2" applyFont="1" applyAlignment="1" applyProtection="1">
      <alignment horizontal="left" vertical="top"/>
    </xf>
    <xf numFmtId="0" fontId="34" fillId="0" borderId="27" xfId="2" applyFont="1" applyBorder="1" applyAlignment="1" applyProtection="1">
      <alignment horizontal="left"/>
    </xf>
    <xf numFmtId="0" fontId="35" fillId="0" borderId="0" xfId="2" applyFont="1" applyAlignment="1" applyProtection="1">
      <alignment horizontal="left" vertical="center"/>
    </xf>
  </cellXfs>
  <cellStyles count="5">
    <cellStyle name="Hypertextový odkaz" xfId="1" builtinId="8"/>
    <cellStyle name="Normální" xfId="0" builtinId="0" customBuiltin="1"/>
    <cellStyle name="normální 10" xfId="4" xr:uid="{C10A4AE7-9B64-4EF7-A077-B071FB905597}"/>
    <cellStyle name="normální 2" xfId="2" xr:uid="{00000000-0005-0000-0000-000002000000}"/>
    <cellStyle name="normální_POL.XLS" xfId="3" xr:uid="{6C349D4A-2C5D-4205-8EB5-D5384FF00151}"/>
  </cellStyles>
  <dxfs count="4"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</dxfs>
  <tableStyles count="0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83"/>
  <sheetViews>
    <sheetView showGridLines="0" view="pageBreakPreview" topLeftCell="B1" zoomScaleNormal="100" zoomScaleSheetLayoutView="100" workbookViewId="0">
      <pane ySplit="1" topLeftCell="A3" activePane="bottomLeft" state="frozen"/>
      <selection pane="bottomLeft" activeCell="J60" sqref="J60:AF60"/>
    </sheetView>
  </sheetViews>
  <sheetFormatPr defaultRowHeight="13.5"/>
  <cols>
    <col min="1" max="1" width="8.33203125" hidden="1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</cols>
  <sheetData>
    <row r="1" spans="1:43" ht="21.4" hidden="1" customHeight="1">
      <c r="A1" s="14" t="s">
        <v>0</v>
      </c>
      <c r="B1" s="19"/>
      <c r="C1" s="19"/>
      <c r="D1" s="20" t="s">
        <v>1</v>
      </c>
      <c r="E1" s="19"/>
      <c r="F1" s="19"/>
      <c r="G1" s="19"/>
      <c r="H1" s="19"/>
      <c r="I1" s="19"/>
      <c r="J1" s="19"/>
      <c r="K1" s="18" t="s">
        <v>305</v>
      </c>
      <c r="L1" s="18"/>
      <c r="M1" s="18"/>
      <c r="N1" s="18"/>
      <c r="O1" s="18"/>
      <c r="P1" s="18"/>
      <c r="Q1" s="18"/>
      <c r="R1" s="18"/>
      <c r="S1" s="18"/>
      <c r="T1" s="19"/>
      <c r="U1" s="19"/>
      <c r="V1" s="19"/>
      <c r="W1" s="18" t="s">
        <v>306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6"/>
      <c r="AJ1" s="15"/>
      <c r="AK1" s="15"/>
      <c r="AL1" s="15"/>
      <c r="AM1" s="15"/>
      <c r="AN1" s="15"/>
      <c r="AO1" s="15"/>
      <c r="AP1" s="15"/>
      <c r="AQ1" s="15"/>
    </row>
    <row r="2" spans="1:43" ht="36.950000000000003" hidden="1" customHeight="1"/>
    <row r="3" spans="1:43" ht="6.95" customHeight="1"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9"/>
    </row>
    <row r="4" spans="1:43" ht="36.950000000000003" customHeight="1">
      <c r="B4" s="30"/>
      <c r="D4" s="31" t="s">
        <v>3</v>
      </c>
      <c r="AQ4" s="32"/>
    </row>
    <row r="5" spans="1:43" ht="14.45" customHeight="1">
      <c r="B5" s="30"/>
      <c r="D5" s="33" t="s">
        <v>4</v>
      </c>
      <c r="K5" s="367" t="s">
        <v>784</v>
      </c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368"/>
      <c r="AL5" s="368"/>
      <c r="AM5" s="368"/>
      <c r="AN5" s="368"/>
      <c r="AO5" s="368"/>
      <c r="AQ5" s="32"/>
    </row>
    <row r="6" spans="1:43" ht="36.950000000000003" customHeight="1">
      <c r="B6" s="30"/>
      <c r="D6" s="34" t="s">
        <v>5</v>
      </c>
      <c r="K6" s="369" t="s">
        <v>785</v>
      </c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70"/>
      <c r="AJ6" s="370"/>
      <c r="AK6" s="370"/>
      <c r="AL6" s="370"/>
      <c r="AM6" s="370"/>
      <c r="AN6" s="370"/>
      <c r="AO6" s="370"/>
      <c r="AQ6" s="32"/>
    </row>
    <row r="7" spans="1:43" ht="14.45" customHeight="1">
      <c r="B7" s="30"/>
      <c r="D7" s="35" t="s">
        <v>6</v>
      </c>
      <c r="K7" s="36" t="s">
        <v>7</v>
      </c>
      <c r="AK7" s="35" t="s">
        <v>8</v>
      </c>
      <c r="AN7" s="36" t="s">
        <v>2</v>
      </c>
      <c r="AQ7" s="32"/>
    </row>
    <row r="8" spans="1:43" ht="14.45" customHeight="1">
      <c r="B8" s="30"/>
      <c r="D8" s="35" t="s">
        <v>10</v>
      </c>
      <c r="K8" s="36" t="s">
        <v>786</v>
      </c>
      <c r="AK8" s="35" t="s">
        <v>11</v>
      </c>
      <c r="AN8" s="37">
        <v>45743</v>
      </c>
      <c r="AQ8" s="32"/>
    </row>
    <row r="9" spans="1:43" ht="14.45" customHeight="1">
      <c r="B9" s="30"/>
      <c r="AQ9" s="32"/>
    </row>
    <row r="10" spans="1:43" ht="14.45" customHeight="1">
      <c r="B10" s="30"/>
      <c r="D10" s="35" t="s">
        <v>12</v>
      </c>
      <c r="AK10" s="35" t="s">
        <v>13</v>
      </c>
      <c r="AN10" s="36" t="s">
        <v>788</v>
      </c>
      <c r="AQ10" s="32"/>
    </row>
    <row r="11" spans="1:43" ht="18.399999999999999" customHeight="1">
      <c r="B11" s="30"/>
      <c r="E11" s="36" t="s">
        <v>787</v>
      </c>
      <c r="AK11" s="35" t="s">
        <v>14</v>
      </c>
      <c r="AN11" s="36" t="s">
        <v>789</v>
      </c>
      <c r="AQ11" s="32"/>
    </row>
    <row r="12" spans="1:43" ht="6.95" customHeight="1">
      <c r="B12" s="30"/>
      <c r="AQ12" s="32"/>
    </row>
    <row r="13" spans="1:43" ht="14.45" customHeight="1">
      <c r="B13" s="30"/>
      <c r="D13" s="35" t="s">
        <v>15</v>
      </c>
      <c r="AK13" s="35" t="s">
        <v>13</v>
      </c>
      <c r="AN13" s="36" t="s">
        <v>2</v>
      </c>
      <c r="AQ13" s="32"/>
    </row>
    <row r="14" spans="1:43" ht="15">
      <c r="B14" s="30"/>
      <c r="E14" s="36" t="s">
        <v>16</v>
      </c>
      <c r="AK14" s="35" t="s">
        <v>14</v>
      </c>
      <c r="AN14" s="36" t="s">
        <v>2</v>
      </c>
      <c r="AQ14" s="32"/>
    </row>
    <row r="15" spans="1:43" ht="6.95" customHeight="1">
      <c r="B15" s="30"/>
      <c r="AQ15" s="32"/>
    </row>
    <row r="16" spans="1:43" ht="14.45" customHeight="1">
      <c r="B16" s="30"/>
      <c r="D16" s="35" t="s">
        <v>17</v>
      </c>
      <c r="AK16" s="35" t="s">
        <v>13</v>
      </c>
      <c r="AN16" s="36" t="s">
        <v>493</v>
      </c>
      <c r="AQ16" s="32"/>
    </row>
    <row r="17" spans="2:43" ht="18.399999999999999" customHeight="1">
      <c r="B17" s="30"/>
      <c r="E17" s="36" t="s">
        <v>803</v>
      </c>
      <c r="AK17" s="35" t="s">
        <v>14</v>
      </c>
      <c r="AN17" s="36" t="s">
        <v>2</v>
      </c>
      <c r="AQ17" s="32"/>
    </row>
    <row r="18" spans="2:43" ht="15">
      <c r="B18" s="30"/>
      <c r="E18" s="36" t="s">
        <v>804</v>
      </c>
      <c r="AK18" s="35"/>
      <c r="AN18" s="36"/>
      <c r="AQ18" s="32"/>
    </row>
    <row r="19" spans="2:43" ht="15">
      <c r="B19" s="30"/>
      <c r="E19" s="298" t="s">
        <v>790</v>
      </c>
      <c r="AQ19" s="32"/>
    </row>
    <row r="20" spans="2:43" ht="14.45" customHeight="1">
      <c r="B20" s="30"/>
      <c r="D20" s="35" t="s">
        <v>18</v>
      </c>
      <c r="AQ20" s="32"/>
    </row>
    <row r="21" spans="2:43" ht="22.5" customHeight="1">
      <c r="B21" s="30"/>
      <c r="E21" s="371" t="s">
        <v>791</v>
      </c>
      <c r="F21" s="370"/>
      <c r="G21" s="370"/>
      <c r="H21" s="370"/>
      <c r="I21" s="370"/>
      <c r="J21" s="370"/>
      <c r="K21" s="370"/>
      <c r="L21" s="370"/>
      <c r="M21" s="370"/>
      <c r="N21" s="370"/>
      <c r="O21" s="370"/>
      <c r="P21" s="370"/>
      <c r="Q21" s="370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370"/>
      <c r="AC21" s="370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370"/>
      <c r="AQ21" s="32"/>
    </row>
    <row r="22" spans="2:43" ht="6.95" customHeight="1">
      <c r="B22" s="30"/>
      <c r="AQ22" s="32"/>
    </row>
    <row r="23" spans="2:43" ht="6.95" customHeight="1">
      <c r="B23" s="30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Q23" s="32"/>
    </row>
    <row r="24" spans="2:43" s="1" customFormat="1" ht="25.9" customHeight="1">
      <c r="B24" s="39"/>
      <c r="D24" s="40" t="s">
        <v>19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72">
        <f>ROUND(AG52,2)</f>
        <v>0</v>
      </c>
      <c r="AL24" s="373"/>
      <c r="AM24" s="373"/>
      <c r="AN24" s="373"/>
      <c r="AO24" s="373"/>
      <c r="AQ24" s="42"/>
    </row>
    <row r="25" spans="2:43" s="1" customFormat="1" ht="6.95" customHeight="1">
      <c r="B25" s="39"/>
      <c r="AQ25" s="42"/>
    </row>
    <row r="26" spans="2:43" s="1" customFormat="1">
      <c r="B26" s="39"/>
      <c r="L26" s="374" t="s">
        <v>20</v>
      </c>
      <c r="M26" s="375"/>
      <c r="N26" s="375"/>
      <c r="O26" s="375"/>
      <c r="W26" s="374" t="s">
        <v>21</v>
      </c>
      <c r="X26" s="375"/>
      <c r="Y26" s="375"/>
      <c r="Z26" s="375"/>
      <c r="AA26" s="375"/>
      <c r="AB26" s="375"/>
      <c r="AC26" s="375"/>
      <c r="AD26" s="375"/>
      <c r="AE26" s="375"/>
      <c r="AK26" s="374" t="s">
        <v>22</v>
      </c>
      <c r="AL26" s="375"/>
      <c r="AM26" s="375"/>
      <c r="AN26" s="375"/>
      <c r="AO26" s="375"/>
      <c r="AQ26" s="42"/>
    </row>
    <row r="27" spans="2:43" s="2" customFormat="1" ht="14.45" customHeight="1">
      <c r="B27" s="43"/>
      <c r="D27" s="44" t="s">
        <v>23</v>
      </c>
      <c r="F27" s="44" t="s">
        <v>24</v>
      </c>
      <c r="L27" s="364">
        <v>0.21</v>
      </c>
      <c r="M27" s="365"/>
      <c r="N27" s="365"/>
      <c r="O27" s="365"/>
      <c r="W27" s="366">
        <f>AK24</f>
        <v>0</v>
      </c>
      <c r="X27" s="365"/>
      <c r="Y27" s="365"/>
      <c r="Z27" s="365"/>
      <c r="AA27" s="365"/>
      <c r="AB27" s="365"/>
      <c r="AC27" s="365"/>
      <c r="AD27" s="365"/>
      <c r="AE27" s="365"/>
      <c r="AK27" s="366">
        <f>W27*L27</f>
        <v>0</v>
      </c>
      <c r="AL27" s="365"/>
      <c r="AM27" s="365"/>
      <c r="AN27" s="365"/>
      <c r="AO27" s="365"/>
      <c r="AQ27" s="45"/>
    </row>
    <row r="28" spans="2:43" s="2" customFormat="1" ht="14.45" customHeight="1">
      <c r="B28" s="43"/>
      <c r="F28" s="44" t="s">
        <v>25</v>
      </c>
      <c r="L28" s="364">
        <v>0.15</v>
      </c>
      <c r="M28" s="365"/>
      <c r="N28" s="365"/>
      <c r="O28" s="365"/>
      <c r="W28" s="366">
        <v>0</v>
      </c>
      <c r="X28" s="365"/>
      <c r="Y28" s="365"/>
      <c r="Z28" s="365"/>
      <c r="AA28" s="365"/>
      <c r="AB28" s="365"/>
      <c r="AC28" s="365"/>
      <c r="AD28" s="365"/>
      <c r="AE28" s="365"/>
      <c r="AK28" s="366">
        <f>W28*L28</f>
        <v>0</v>
      </c>
      <c r="AL28" s="365"/>
      <c r="AM28" s="365"/>
      <c r="AN28" s="365"/>
      <c r="AO28" s="365"/>
      <c r="AQ28" s="45"/>
    </row>
    <row r="29" spans="2:43" s="2" customFormat="1" ht="14.45" hidden="1" customHeight="1">
      <c r="B29" s="43"/>
      <c r="F29" s="44" t="s">
        <v>26</v>
      </c>
      <c r="L29" s="364">
        <v>0.21</v>
      </c>
      <c r="M29" s="365"/>
      <c r="N29" s="365"/>
      <c r="O29" s="365"/>
      <c r="W29" s="366" t="e">
        <f>ROUND(#REF!,2)</f>
        <v>#REF!</v>
      </c>
      <c r="X29" s="365"/>
      <c r="Y29" s="365"/>
      <c r="Z29" s="365"/>
      <c r="AA29" s="365"/>
      <c r="AB29" s="365"/>
      <c r="AC29" s="365"/>
      <c r="AD29" s="365"/>
      <c r="AE29" s="365"/>
      <c r="AK29" s="366">
        <v>0</v>
      </c>
      <c r="AL29" s="365"/>
      <c r="AM29" s="365"/>
      <c r="AN29" s="365"/>
      <c r="AO29" s="365"/>
      <c r="AQ29" s="45"/>
    </row>
    <row r="30" spans="2:43" s="2" customFormat="1" ht="14.45" hidden="1" customHeight="1">
      <c r="B30" s="43"/>
      <c r="F30" s="44" t="s">
        <v>27</v>
      </c>
      <c r="L30" s="364">
        <v>0.15</v>
      </c>
      <c r="M30" s="365"/>
      <c r="N30" s="365"/>
      <c r="O30" s="365"/>
      <c r="W30" s="366" t="e">
        <f>ROUND(#REF!,2)</f>
        <v>#REF!</v>
      </c>
      <c r="X30" s="365"/>
      <c r="Y30" s="365"/>
      <c r="Z30" s="365"/>
      <c r="AA30" s="365"/>
      <c r="AB30" s="365"/>
      <c r="AC30" s="365"/>
      <c r="AD30" s="365"/>
      <c r="AE30" s="365"/>
      <c r="AK30" s="366">
        <v>0</v>
      </c>
      <c r="AL30" s="365"/>
      <c r="AM30" s="365"/>
      <c r="AN30" s="365"/>
      <c r="AO30" s="365"/>
      <c r="AQ30" s="45"/>
    </row>
    <row r="31" spans="2:43" s="2" customFormat="1" ht="14.45" hidden="1" customHeight="1">
      <c r="B31" s="43"/>
      <c r="F31" s="44" t="s">
        <v>28</v>
      </c>
      <c r="L31" s="364">
        <v>0</v>
      </c>
      <c r="M31" s="365"/>
      <c r="N31" s="365"/>
      <c r="O31" s="365"/>
      <c r="W31" s="366" t="e">
        <f>ROUND(#REF!,2)</f>
        <v>#REF!</v>
      </c>
      <c r="X31" s="365"/>
      <c r="Y31" s="365"/>
      <c r="Z31" s="365"/>
      <c r="AA31" s="365"/>
      <c r="AB31" s="365"/>
      <c r="AC31" s="365"/>
      <c r="AD31" s="365"/>
      <c r="AE31" s="365"/>
      <c r="AK31" s="366">
        <v>0</v>
      </c>
      <c r="AL31" s="365"/>
      <c r="AM31" s="365"/>
      <c r="AN31" s="365"/>
      <c r="AO31" s="365"/>
      <c r="AQ31" s="45"/>
    </row>
    <row r="32" spans="2:43" s="1" customFormat="1" ht="6.95" customHeight="1">
      <c r="B32" s="39"/>
      <c r="AQ32" s="42"/>
    </row>
    <row r="33" spans="2:43" s="1" customFormat="1" ht="25.9" customHeight="1">
      <c r="B33" s="39"/>
      <c r="C33" s="46"/>
      <c r="D33" s="47" t="s">
        <v>29</v>
      </c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9" t="s">
        <v>30</v>
      </c>
      <c r="U33" s="48"/>
      <c r="V33" s="48"/>
      <c r="W33" s="48"/>
      <c r="X33" s="376" t="s">
        <v>31</v>
      </c>
      <c r="Y33" s="377"/>
      <c r="Z33" s="377"/>
      <c r="AA33" s="377"/>
      <c r="AB33" s="377"/>
      <c r="AC33" s="48"/>
      <c r="AD33" s="48"/>
      <c r="AE33" s="48"/>
      <c r="AF33" s="48"/>
      <c r="AG33" s="48"/>
      <c r="AH33" s="48"/>
      <c r="AI33" s="48"/>
      <c r="AJ33" s="48"/>
      <c r="AK33" s="378">
        <f>SUM(AK24:AK31)</f>
        <v>0</v>
      </c>
      <c r="AL33" s="377"/>
      <c r="AM33" s="377"/>
      <c r="AN33" s="377"/>
      <c r="AO33" s="379"/>
      <c r="AP33" s="46"/>
      <c r="AQ33" s="50"/>
    </row>
    <row r="34" spans="2:43" s="1" customFormat="1" ht="6.95" customHeight="1">
      <c r="B34" s="39"/>
      <c r="AQ34" s="42"/>
    </row>
    <row r="35" spans="2:43" s="1" customFormat="1" ht="6.95" customHeight="1">
      <c r="B35" s="51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3"/>
    </row>
    <row r="39" spans="2:43" s="1" customFormat="1" ht="6.95" customHeight="1">
      <c r="B39" s="54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</row>
    <row r="40" spans="2:43" s="1" customFormat="1" ht="36.950000000000003" customHeight="1">
      <c r="B40" s="39"/>
      <c r="C40" s="31" t="s">
        <v>32</v>
      </c>
    </row>
    <row r="41" spans="2:43" s="1" customFormat="1" ht="6.95" customHeight="1">
      <c r="B41" s="39"/>
    </row>
    <row r="42" spans="2:43" s="3" customFormat="1" ht="14.45" customHeight="1">
      <c r="B42" s="56"/>
      <c r="C42" s="35" t="s">
        <v>4</v>
      </c>
      <c r="L42" s="57" t="str">
        <f>K5</f>
        <v>stř. 23228</v>
      </c>
    </row>
    <row r="43" spans="2:43" s="4" customFormat="1" ht="36.950000000000003" customHeight="1">
      <c r="B43" s="58"/>
      <c r="C43" s="59" t="s">
        <v>5</v>
      </c>
      <c r="L43" s="382" t="str">
        <f>K6</f>
        <v>Realizace výtahu a rekonstrukce navazujících prostor interiéru budovy Městského úřadu Smržovka</v>
      </c>
      <c r="M43" s="383"/>
      <c r="N43" s="383"/>
      <c r="O43" s="383"/>
      <c r="P43" s="383"/>
      <c r="Q43" s="383"/>
      <c r="R43" s="383"/>
      <c r="S43" s="383"/>
      <c r="T43" s="383"/>
      <c r="U43" s="383"/>
      <c r="V43" s="383"/>
      <c r="W43" s="383"/>
      <c r="X43" s="383"/>
      <c r="Y43" s="383"/>
      <c r="Z43" s="383"/>
      <c r="AA43" s="383"/>
      <c r="AB43" s="383"/>
      <c r="AC43" s="383"/>
      <c r="AD43" s="383"/>
      <c r="AE43" s="383"/>
      <c r="AF43" s="383"/>
      <c r="AG43" s="383"/>
      <c r="AH43" s="383"/>
      <c r="AI43" s="383"/>
      <c r="AJ43" s="383"/>
      <c r="AK43" s="383"/>
      <c r="AL43" s="383"/>
      <c r="AM43" s="383"/>
      <c r="AN43" s="383"/>
      <c r="AO43" s="383"/>
    </row>
    <row r="44" spans="2:43" s="1" customFormat="1" ht="6.95" customHeight="1">
      <c r="B44" s="39"/>
    </row>
    <row r="45" spans="2:43" s="1" customFormat="1" ht="15">
      <c r="B45" s="39"/>
      <c r="C45" s="35" t="s">
        <v>10</v>
      </c>
      <c r="L45" s="60" t="str">
        <f>IF(K8="","",K8)</f>
        <v>č.p. 600, st.p.č. 1/1, k.ú. Smržovka [751324]</v>
      </c>
      <c r="AI45" s="35" t="s">
        <v>11</v>
      </c>
      <c r="AM45" s="391">
        <f>IF(AN8= "","",AN8)</f>
        <v>45743</v>
      </c>
      <c r="AN45" s="375"/>
    </row>
    <row r="46" spans="2:43" s="1" customFormat="1" ht="6.95" customHeight="1">
      <c r="B46" s="39"/>
    </row>
    <row r="47" spans="2:43" s="1" customFormat="1" ht="15">
      <c r="B47" s="39"/>
      <c r="C47" s="35" t="s">
        <v>12</v>
      </c>
      <c r="L47" s="3" t="str">
        <f>IF(E11= "","",E11)</f>
        <v>Město Smržovka, nám. T.G.Masaryka č.p. 600, Smržovka, PSČ 46851</v>
      </c>
      <c r="AI47" s="35" t="s">
        <v>17</v>
      </c>
      <c r="AM47" s="392" t="str">
        <f>IF(E17="","",E17)</f>
        <v>LHOTA - STAVITELSTVÍ</v>
      </c>
      <c r="AN47" s="375"/>
      <c r="AO47" s="375"/>
      <c r="AP47" s="375"/>
    </row>
    <row r="48" spans="2:43" s="1" customFormat="1" ht="15">
      <c r="B48" s="39"/>
      <c r="C48" s="35" t="s">
        <v>15</v>
      </c>
      <c r="L48" s="3" t="str">
        <f>IF(E14="","",E14)</f>
        <v xml:space="preserve"> </v>
      </c>
    </row>
    <row r="49" spans="1:43" s="1" customFormat="1" ht="10.9" customHeight="1">
      <c r="B49" s="39"/>
    </row>
    <row r="50" spans="1:43" s="1" customFormat="1" ht="29.25" customHeight="1">
      <c r="B50" s="39"/>
      <c r="C50" s="384" t="s">
        <v>33</v>
      </c>
      <c r="D50" s="385"/>
      <c r="E50" s="385"/>
      <c r="F50" s="385"/>
      <c r="G50" s="385"/>
      <c r="H50" s="62"/>
      <c r="I50" s="386" t="s">
        <v>34</v>
      </c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  <c r="AC50" s="385"/>
      <c r="AD50" s="385"/>
      <c r="AE50" s="385"/>
      <c r="AF50" s="385"/>
      <c r="AG50" s="387" t="s">
        <v>35</v>
      </c>
      <c r="AH50" s="385"/>
      <c r="AI50" s="385"/>
      <c r="AJ50" s="385"/>
      <c r="AK50" s="385"/>
      <c r="AL50" s="385"/>
      <c r="AM50" s="385"/>
      <c r="AN50" s="386" t="s">
        <v>36</v>
      </c>
      <c r="AO50" s="385"/>
      <c r="AP50" s="385"/>
      <c r="AQ50" s="63" t="s">
        <v>37</v>
      </c>
    </row>
    <row r="51" spans="1:43" s="1" customFormat="1" ht="10.9" customHeight="1">
      <c r="B51" s="39"/>
    </row>
    <row r="52" spans="1:43" s="4" customFormat="1" ht="32.450000000000003" customHeight="1">
      <c r="B52" s="58"/>
      <c r="C52" s="64" t="s">
        <v>38</v>
      </c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380">
        <f>SUM(AG53:AM68)</f>
        <v>0</v>
      </c>
      <c r="AH52" s="380"/>
      <c r="AI52" s="380"/>
      <c r="AJ52" s="380"/>
      <c r="AK52" s="380"/>
      <c r="AL52" s="380"/>
      <c r="AM52" s="380"/>
      <c r="AN52" s="381">
        <f>SUM(AN53:AP68)</f>
        <v>0</v>
      </c>
      <c r="AO52" s="381"/>
      <c r="AP52" s="381"/>
      <c r="AQ52" s="66" t="s">
        <v>2</v>
      </c>
    </row>
    <row r="53" spans="1:43" s="5" customFormat="1" ht="30.6" customHeight="1">
      <c r="A53" s="17" t="s">
        <v>307</v>
      </c>
      <c r="B53" s="67"/>
      <c r="C53" s="68"/>
      <c r="D53" s="361" t="s">
        <v>40</v>
      </c>
      <c r="E53" s="362"/>
      <c r="F53" s="362"/>
      <c r="G53" s="362"/>
      <c r="H53" s="362"/>
      <c r="I53" s="69"/>
      <c r="J53" s="361" t="s">
        <v>792</v>
      </c>
      <c r="K53" s="362"/>
      <c r="L53" s="362"/>
      <c r="M53" s="362"/>
      <c r="N53" s="362"/>
      <c r="O53" s="362"/>
      <c r="P53" s="362"/>
      <c r="Q53" s="362"/>
      <c r="R53" s="362"/>
      <c r="S53" s="362"/>
      <c r="T53" s="362"/>
      <c r="U53" s="362"/>
      <c r="V53" s="362"/>
      <c r="W53" s="362"/>
      <c r="X53" s="362"/>
      <c r="Y53" s="362"/>
      <c r="Z53" s="362"/>
      <c r="AA53" s="362"/>
      <c r="AB53" s="362"/>
      <c r="AC53" s="362"/>
      <c r="AD53" s="362"/>
      <c r="AE53" s="362"/>
      <c r="AF53" s="362"/>
      <c r="AG53" s="363">
        <f>'SO 01 - Stáv.obj.'!J28</f>
        <v>0</v>
      </c>
      <c r="AH53" s="362"/>
      <c r="AI53" s="362"/>
      <c r="AJ53" s="362"/>
      <c r="AK53" s="362"/>
      <c r="AL53" s="362"/>
      <c r="AM53" s="362"/>
      <c r="AN53" s="363">
        <f>'SO 01 - Stáv.obj.'!J37</f>
        <v>0</v>
      </c>
      <c r="AO53" s="362"/>
      <c r="AP53" s="362"/>
      <c r="AQ53" s="70" t="s">
        <v>41</v>
      </c>
    </row>
    <row r="54" spans="1:43" s="5" customFormat="1" ht="30" customHeight="1">
      <c r="A54" s="17" t="s">
        <v>307</v>
      </c>
      <c r="B54" s="67"/>
      <c r="C54" s="68"/>
      <c r="D54" s="361" t="s">
        <v>43</v>
      </c>
      <c r="E54" s="362"/>
      <c r="F54" s="362"/>
      <c r="G54" s="362"/>
      <c r="H54" s="362"/>
      <c r="I54" s="69"/>
      <c r="J54" s="361" t="s">
        <v>793</v>
      </c>
      <c r="K54" s="362"/>
      <c r="L54" s="362"/>
      <c r="M54" s="362"/>
      <c r="N54" s="362"/>
      <c r="O54" s="362"/>
      <c r="P54" s="362"/>
      <c r="Q54" s="362"/>
      <c r="R54" s="362"/>
      <c r="S54" s="362"/>
      <c r="T54" s="362"/>
      <c r="U54" s="362"/>
      <c r="V54" s="362"/>
      <c r="W54" s="362"/>
      <c r="X54" s="362"/>
      <c r="Y54" s="362"/>
      <c r="Z54" s="362"/>
      <c r="AA54" s="362"/>
      <c r="AB54" s="362"/>
      <c r="AC54" s="362"/>
      <c r="AD54" s="362"/>
      <c r="AE54" s="362"/>
      <c r="AF54" s="362"/>
      <c r="AG54" s="363">
        <f>'SO 02 - Přístavba'!J28</f>
        <v>0</v>
      </c>
      <c r="AH54" s="362"/>
      <c r="AI54" s="362"/>
      <c r="AJ54" s="362"/>
      <c r="AK54" s="362"/>
      <c r="AL54" s="362"/>
      <c r="AM54" s="362"/>
      <c r="AN54" s="363">
        <f>'SO 02 - Přístavba'!J37</f>
        <v>0</v>
      </c>
      <c r="AO54" s="362"/>
      <c r="AP54" s="362"/>
      <c r="AQ54" s="70" t="s">
        <v>41</v>
      </c>
    </row>
    <row r="55" spans="1:43" s="5" customFormat="1" ht="30" customHeight="1">
      <c r="A55" s="17" t="s">
        <v>307</v>
      </c>
      <c r="B55" s="67"/>
      <c r="C55" s="68"/>
      <c r="D55" s="361" t="s">
        <v>44</v>
      </c>
      <c r="E55" s="362"/>
      <c r="F55" s="362"/>
      <c r="G55" s="362"/>
      <c r="H55" s="362"/>
      <c r="I55" s="69"/>
      <c r="J55" s="361" t="s">
        <v>794</v>
      </c>
      <c r="K55" s="362"/>
      <c r="L55" s="362"/>
      <c r="M55" s="362"/>
      <c r="N55" s="362"/>
      <c r="O55" s="362"/>
      <c r="P55" s="362"/>
      <c r="Q55" s="362"/>
      <c r="R55" s="362"/>
      <c r="S55" s="362"/>
      <c r="T55" s="362"/>
      <c r="U55" s="362"/>
      <c r="V55" s="362"/>
      <c r="W55" s="362"/>
      <c r="X55" s="362"/>
      <c r="Y55" s="362"/>
      <c r="Z55" s="362"/>
      <c r="AA55" s="362"/>
      <c r="AB55" s="362"/>
      <c r="AC55" s="362"/>
      <c r="AD55" s="362"/>
      <c r="AE55" s="362"/>
      <c r="AF55" s="362"/>
      <c r="AG55" s="363">
        <f>'SO 03 - Zpevněné plochy'!J28</f>
        <v>0</v>
      </c>
      <c r="AH55" s="362"/>
      <c r="AI55" s="362"/>
      <c r="AJ55" s="362"/>
      <c r="AK55" s="362"/>
      <c r="AL55" s="362"/>
      <c r="AM55" s="362"/>
      <c r="AN55" s="363">
        <f>'SO 03 - Zpevněné plochy'!J37</f>
        <v>0</v>
      </c>
      <c r="AO55" s="362"/>
      <c r="AP55" s="362"/>
      <c r="AQ55" s="70" t="s">
        <v>41</v>
      </c>
    </row>
    <row r="56" spans="1:43" s="5" customFormat="1" ht="30" customHeight="1">
      <c r="A56" s="17" t="s">
        <v>307</v>
      </c>
      <c r="B56" s="67"/>
      <c r="C56" s="68"/>
      <c r="D56" s="361" t="s">
        <v>795</v>
      </c>
      <c r="E56" s="362"/>
      <c r="F56" s="362"/>
      <c r="G56" s="362"/>
      <c r="H56" s="362"/>
      <c r="I56" s="69"/>
      <c r="J56" s="361" t="s">
        <v>796</v>
      </c>
      <c r="K56" s="362"/>
      <c r="L56" s="362"/>
      <c r="M56" s="362"/>
      <c r="N56" s="362"/>
      <c r="O56" s="362"/>
      <c r="P56" s="362"/>
      <c r="Q56" s="362"/>
      <c r="R56" s="362"/>
      <c r="S56" s="362"/>
      <c r="T56" s="362"/>
      <c r="U56" s="362"/>
      <c r="V56" s="362"/>
      <c r="W56" s="362"/>
      <c r="X56" s="362"/>
      <c r="Y56" s="362"/>
      <c r="Z56" s="362"/>
      <c r="AA56" s="362"/>
      <c r="AB56" s="362"/>
      <c r="AC56" s="362"/>
      <c r="AD56" s="362"/>
      <c r="AE56" s="362"/>
      <c r="AF56" s="362"/>
      <c r="AG56" s="363">
        <f>'SO 04 - Sadové a terénní'!J28</f>
        <v>0</v>
      </c>
      <c r="AH56" s="362"/>
      <c r="AI56" s="362"/>
      <c r="AJ56" s="362"/>
      <c r="AK56" s="362"/>
      <c r="AL56" s="362"/>
      <c r="AM56" s="362"/>
      <c r="AN56" s="363">
        <f>'SO 04 - Sadové a terénní'!J37</f>
        <v>0</v>
      </c>
      <c r="AO56" s="362"/>
      <c r="AP56" s="362"/>
      <c r="AQ56" s="70" t="s">
        <v>41</v>
      </c>
    </row>
    <row r="57" spans="1:43" s="5" customFormat="1" ht="30" customHeight="1">
      <c r="A57" s="17"/>
      <c r="B57" s="67"/>
      <c r="C57" s="68"/>
      <c r="D57" s="297"/>
      <c r="E57" s="69"/>
      <c r="F57" s="69"/>
      <c r="G57" s="69"/>
      <c r="H57" s="69"/>
      <c r="I57" s="69"/>
      <c r="J57" s="297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296"/>
      <c r="AH57" s="69"/>
      <c r="AI57" s="69"/>
      <c r="AJ57" s="69"/>
      <c r="AK57" s="69"/>
      <c r="AL57" s="69"/>
      <c r="AM57" s="69"/>
      <c r="AN57" s="296"/>
      <c r="AO57" s="69"/>
      <c r="AP57" s="69"/>
      <c r="AQ57" s="70"/>
    </row>
    <row r="58" spans="1:43" s="5" customFormat="1" ht="30" customHeight="1">
      <c r="A58" s="17" t="s">
        <v>307</v>
      </c>
      <c r="B58" s="67"/>
      <c r="C58" s="68"/>
      <c r="D58" s="361" t="s">
        <v>1808</v>
      </c>
      <c r="E58" s="362"/>
      <c r="F58" s="362"/>
      <c r="G58" s="362"/>
      <c r="H58" s="362"/>
      <c r="I58" s="69"/>
      <c r="J58" s="361" t="s">
        <v>1809</v>
      </c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3">
        <f>'INT 01 - Interiér'!J28</f>
        <v>0</v>
      </c>
      <c r="AH58" s="362"/>
      <c r="AI58" s="362"/>
      <c r="AJ58" s="362"/>
      <c r="AK58" s="362"/>
      <c r="AL58" s="362"/>
      <c r="AM58" s="362"/>
      <c r="AN58" s="363">
        <f>'INT 01 - Interiér'!J37</f>
        <v>0</v>
      </c>
      <c r="AO58" s="362"/>
      <c r="AP58" s="362"/>
      <c r="AQ58" s="70" t="s">
        <v>41</v>
      </c>
    </row>
    <row r="59" spans="1:43" s="5" customFormat="1" ht="30" customHeight="1">
      <c r="A59" s="17"/>
      <c r="B59" s="67"/>
      <c r="C59" s="68"/>
      <c r="D59" s="297"/>
      <c r="E59" s="69"/>
      <c r="F59" s="69"/>
      <c r="G59" s="69"/>
      <c r="H59" s="69"/>
      <c r="I59" s="69"/>
      <c r="J59" s="297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296"/>
      <c r="AH59" s="69"/>
      <c r="AI59" s="69"/>
      <c r="AJ59" s="69"/>
      <c r="AK59" s="69"/>
      <c r="AL59" s="69"/>
      <c r="AM59" s="69"/>
      <c r="AN59" s="296"/>
      <c r="AO59" s="69"/>
      <c r="AP59" s="69"/>
      <c r="AQ59" s="70"/>
    </row>
    <row r="60" spans="1:43" s="5" customFormat="1" ht="30" customHeight="1">
      <c r="A60" s="17" t="s">
        <v>307</v>
      </c>
      <c r="B60" s="67"/>
      <c r="C60" s="68"/>
      <c r="D60" s="361" t="s">
        <v>797</v>
      </c>
      <c r="E60" s="362"/>
      <c r="F60" s="362"/>
      <c r="G60" s="362"/>
      <c r="H60" s="362"/>
      <c r="I60" s="69"/>
      <c r="J60" s="361" t="s">
        <v>798</v>
      </c>
      <c r="K60" s="362"/>
      <c r="L60" s="362"/>
      <c r="M60" s="362"/>
      <c r="N60" s="362"/>
      <c r="O60" s="362"/>
      <c r="P60" s="362"/>
      <c r="Q60" s="362"/>
      <c r="R60" s="362"/>
      <c r="S60" s="362"/>
      <c r="T60" s="362"/>
      <c r="U60" s="362"/>
      <c r="V60" s="362"/>
      <c r="W60" s="362"/>
      <c r="X60" s="362"/>
      <c r="Y60" s="362"/>
      <c r="Z60" s="362"/>
      <c r="AA60" s="362"/>
      <c r="AB60" s="362"/>
      <c r="AC60" s="362"/>
      <c r="AD60" s="362"/>
      <c r="AE60" s="362"/>
      <c r="AF60" s="362"/>
      <c r="AG60" s="363">
        <f>'TO 01 - SLP'!J28</f>
        <v>0</v>
      </c>
      <c r="AH60" s="362"/>
      <c r="AI60" s="362"/>
      <c r="AJ60" s="362"/>
      <c r="AK60" s="362"/>
      <c r="AL60" s="362"/>
      <c r="AM60" s="362"/>
      <c r="AN60" s="363">
        <f>'TO 01 - SLP'!J37</f>
        <v>0</v>
      </c>
      <c r="AO60" s="362"/>
      <c r="AP60" s="362"/>
      <c r="AQ60" s="70" t="s">
        <v>41</v>
      </c>
    </row>
    <row r="61" spans="1:43" s="5" customFormat="1" ht="30" customHeight="1">
      <c r="A61" s="17"/>
      <c r="B61" s="67"/>
      <c r="C61" s="68"/>
      <c r="D61" s="297"/>
      <c r="E61" s="69"/>
      <c r="F61" s="69"/>
      <c r="G61" s="69"/>
      <c r="H61" s="69"/>
      <c r="I61" s="69"/>
      <c r="J61" s="297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296"/>
      <c r="AH61" s="69"/>
      <c r="AI61" s="69"/>
      <c r="AJ61" s="69"/>
      <c r="AK61" s="69"/>
      <c r="AL61" s="69"/>
      <c r="AM61" s="69"/>
      <c r="AN61" s="296"/>
      <c r="AO61" s="69"/>
      <c r="AP61" s="69"/>
      <c r="AQ61" s="70"/>
    </row>
    <row r="62" spans="1:43" s="5" customFormat="1" ht="30" customHeight="1">
      <c r="A62" s="17" t="s">
        <v>307</v>
      </c>
      <c r="B62" s="67"/>
      <c r="C62" s="68"/>
      <c r="D62" s="361" t="s">
        <v>799</v>
      </c>
      <c r="E62" s="362"/>
      <c r="F62" s="362"/>
      <c r="G62" s="362"/>
      <c r="H62" s="362"/>
      <c r="I62" s="69"/>
      <c r="J62" s="361" t="s">
        <v>800</v>
      </c>
      <c r="K62" s="362"/>
      <c r="L62" s="362"/>
      <c r="M62" s="362"/>
      <c r="N62" s="362"/>
      <c r="O62" s="362"/>
      <c r="P62" s="362"/>
      <c r="Q62" s="362"/>
      <c r="R62" s="362"/>
      <c r="S62" s="362"/>
      <c r="T62" s="362"/>
      <c r="U62" s="362"/>
      <c r="V62" s="362"/>
      <c r="W62" s="362"/>
      <c r="X62" s="362"/>
      <c r="Y62" s="362"/>
      <c r="Z62" s="362"/>
      <c r="AA62" s="362"/>
      <c r="AB62" s="362"/>
      <c r="AC62" s="362"/>
      <c r="AD62" s="362"/>
      <c r="AE62" s="362"/>
      <c r="AF62" s="362"/>
      <c r="AG62" s="363">
        <f>'IO 01 - Splašková kanalizace'!J28</f>
        <v>0</v>
      </c>
      <c r="AH62" s="362"/>
      <c r="AI62" s="362"/>
      <c r="AJ62" s="362"/>
      <c r="AK62" s="362"/>
      <c r="AL62" s="362"/>
      <c r="AM62" s="362"/>
      <c r="AN62" s="363">
        <f>'IO 01 - Splašková kanalizace'!J37</f>
        <v>0</v>
      </c>
      <c r="AO62" s="362"/>
      <c r="AP62" s="362"/>
      <c r="AQ62" s="70" t="s">
        <v>41</v>
      </c>
    </row>
    <row r="63" spans="1:43" s="5" customFormat="1" ht="30" customHeight="1">
      <c r="A63" s="17" t="s">
        <v>307</v>
      </c>
      <c r="B63" s="67"/>
      <c r="C63" s="68"/>
      <c r="D63" s="361" t="s">
        <v>801</v>
      </c>
      <c r="E63" s="362"/>
      <c r="F63" s="362"/>
      <c r="G63" s="362"/>
      <c r="H63" s="362"/>
      <c r="I63" s="69"/>
      <c r="J63" s="361" t="s">
        <v>802</v>
      </c>
      <c r="K63" s="362"/>
      <c r="L63" s="362"/>
      <c r="M63" s="362"/>
      <c r="N63" s="362"/>
      <c r="O63" s="362"/>
      <c r="P63" s="362"/>
      <c r="Q63" s="362"/>
      <c r="R63" s="362"/>
      <c r="S63" s="362"/>
      <c r="T63" s="362"/>
      <c r="U63" s="362"/>
      <c r="V63" s="362"/>
      <c r="W63" s="362"/>
      <c r="X63" s="362"/>
      <c r="Y63" s="362"/>
      <c r="Z63" s="362"/>
      <c r="AA63" s="362"/>
      <c r="AB63" s="362"/>
      <c r="AC63" s="362"/>
      <c r="AD63" s="362"/>
      <c r="AE63" s="362"/>
      <c r="AF63" s="362"/>
      <c r="AG63" s="363">
        <f>'IO 02 - Dešťová kanalizace'!J28</f>
        <v>0</v>
      </c>
      <c r="AH63" s="362"/>
      <c r="AI63" s="362"/>
      <c r="AJ63" s="362"/>
      <c r="AK63" s="362"/>
      <c r="AL63" s="362"/>
      <c r="AM63" s="362"/>
      <c r="AN63" s="363">
        <f>'IO 02 - Dešťová kanalizace'!J37</f>
        <v>0</v>
      </c>
      <c r="AO63" s="362"/>
      <c r="AP63" s="362"/>
      <c r="AQ63" s="70" t="s">
        <v>41</v>
      </c>
    </row>
    <row r="64" spans="1:43" s="5" customFormat="1" ht="30" customHeight="1">
      <c r="A64" s="17" t="s">
        <v>307</v>
      </c>
      <c r="B64" s="67"/>
      <c r="C64" s="68"/>
      <c r="D64" s="361" t="s">
        <v>805</v>
      </c>
      <c r="E64" s="362"/>
      <c r="F64" s="362"/>
      <c r="G64" s="362"/>
      <c r="H64" s="362"/>
      <c r="I64" s="69"/>
      <c r="J64" s="361" t="s">
        <v>806</v>
      </c>
      <c r="K64" s="362"/>
      <c r="L64" s="362"/>
      <c r="M64" s="362"/>
      <c r="N64" s="362"/>
      <c r="O64" s="362"/>
      <c r="P64" s="362"/>
      <c r="Q64" s="362"/>
      <c r="R64" s="362"/>
      <c r="S64" s="362"/>
      <c r="T64" s="362"/>
      <c r="U64" s="362"/>
      <c r="V64" s="362"/>
      <c r="W64" s="362"/>
      <c r="X64" s="362"/>
      <c r="Y64" s="362"/>
      <c r="Z64" s="362"/>
      <c r="AA64" s="362"/>
      <c r="AB64" s="362"/>
      <c r="AC64" s="362"/>
      <c r="AD64" s="362"/>
      <c r="AE64" s="362"/>
      <c r="AF64" s="362"/>
      <c r="AG64" s="363">
        <f>'IO 03 - Vodovodní přípojka'!J28</f>
        <v>0</v>
      </c>
      <c r="AH64" s="362"/>
      <c r="AI64" s="362"/>
      <c r="AJ64" s="362"/>
      <c r="AK64" s="362"/>
      <c r="AL64" s="362"/>
      <c r="AM64" s="362"/>
      <c r="AN64" s="363">
        <f>'IO 03 - Vodovodní přípojka'!J37</f>
        <v>0</v>
      </c>
      <c r="AO64" s="362"/>
      <c r="AP64" s="362"/>
      <c r="AQ64" s="70" t="s">
        <v>41</v>
      </c>
    </row>
    <row r="65" spans="1:43" s="5" customFormat="1" ht="30" customHeight="1">
      <c r="A65" s="17" t="s">
        <v>307</v>
      </c>
      <c r="B65" s="67"/>
      <c r="C65" s="68"/>
      <c r="D65" s="361" t="s">
        <v>807</v>
      </c>
      <c r="E65" s="362"/>
      <c r="F65" s="362"/>
      <c r="G65" s="362"/>
      <c r="H65" s="362"/>
      <c r="I65" s="69"/>
      <c r="J65" s="361" t="s">
        <v>824</v>
      </c>
      <c r="K65" s="362"/>
      <c r="L65" s="362"/>
      <c r="M65" s="362"/>
      <c r="N65" s="362"/>
      <c r="O65" s="362"/>
      <c r="P65" s="362"/>
      <c r="Q65" s="362"/>
      <c r="R65" s="362"/>
      <c r="S65" s="362"/>
      <c r="T65" s="362"/>
      <c r="U65" s="362"/>
      <c r="V65" s="362"/>
      <c r="W65" s="362"/>
      <c r="X65" s="362"/>
      <c r="Y65" s="362"/>
      <c r="Z65" s="362"/>
      <c r="AA65" s="362"/>
      <c r="AB65" s="362"/>
      <c r="AC65" s="362"/>
      <c r="AD65" s="362"/>
      <c r="AE65" s="362"/>
      <c r="AF65" s="362"/>
      <c r="AG65" s="363">
        <f>'IO 04 - Elektro přípojka'!J28</f>
        <v>0</v>
      </c>
      <c r="AH65" s="362"/>
      <c r="AI65" s="362"/>
      <c r="AJ65" s="362"/>
      <c r="AK65" s="362"/>
      <c r="AL65" s="362"/>
      <c r="AM65" s="362"/>
      <c r="AN65" s="363">
        <f>'IO 04 - Elektro přípojka'!J37</f>
        <v>0</v>
      </c>
      <c r="AO65" s="362"/>
      <c r="AP65" s="362"/>
      <c r="AQ65" s="70" t="s">
        <v>41</v>
      </c>
    </row>
    <row r="66" spans="1:43" s="5" customFormat="1" ht="30" customHeight="1">
      <c r="A66" s="17" t="s">
        <v>307</v>
      </c>
      <c r="B66" s="67"/>
      <c r="C66" s="68"/>
      <c r="D66" s="361" t="s">
        <v>805</v>
      </c>
      <c r="E66" s="362"/>
      <c r="F66" s="362"/>
      <c r="G66" s="362"/>
      <c r="H66" s="362"/>
      <c r="I66" s="69"/>
      <c r="J66" s="361" t="s">
        <v>808</v>
      </c>
      <c r="K66" s="362"/>
      <c r="L66" s="362"/>
      <c r="M66" s="362"/>
      <c r="N66" s="362"/>
      <c r="O66" s="362"/>
      <c r="P66" s="362"/>
      <c r="Q66" s="362"/>
      <c r="R66" s="362"/>
      <c r="S66" s="362"/>
      <c r="T66" s="362"/>
      <c r="U66" s="362"/>
      <c r="V66" s="362"/>
      <c r="W66" s="362"/>
      <c r="X66" s="362"/>
      <c r="Y66" s="362"/>
      <c r="Z66" s="362"/>
      <c r="AA66" s="362"/>
      <c r="AB66" s="362"/>
      <c r="AC66" s="362"/>
      <c r="AD66" s="362"/>
      <c r="AE66" s="362"/>
      <c r="AF66" s="362"/>
      <c r="AG66" s="363">
        <f>'IO 05 - Plynová přípojka'!J28</f>
        <v>0</v>
      </c>
      <c r="AH66" s="362"/>
      <c r="AI66" s="362"/>
      <c r="AJ66" s="362"/>
      <c r="AK66" s="362"/>
      <c r="AL66" s="362"/>
      <c r="AM66" s="362"/>
      <c r="AN66" s="363">
        <f>'IO 05 - Plynová přípojka'!J37</f>
        <v>0</v>
      </c>
      <c r="AO66" s="362"/>
      <c r="AP66" s="362"/>
      <c r="AQ66" s="70" t="s">
        <v>41</v>
      </c>
    </row>
    <row r="67" spans="1:43" s="24" customFormat="1" ht="22.5" customHeight="1">
      <c r="A67" s="17"/>
      <c r="B67" s="71"/>
      <c r="C67" s="72"/>
      <c r="D67" s="73"/>
      <c r="E67" s="74"/>
      <c r="F67" s="74"/>
      <c r="G67" s="74"/>
      <c r="H67" s="74"/>
      <c r="I67" s="74"/>
      <c r="J67" s="75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6"/>
      <c r="AH67" s="77"/>
      <c r="AI67" s="78"/>
      <c r="AJ67" s="74"/>
      <c r="AK67" s="74"/>
      <c r="AL67" s="74"/>
      <c r="AM67" s="74"/>
      <c r="AN67" s="78"/>
      <c r="AO67" s="74"/>
      <c r="AP67" s="74"/>
      <c r="AQ67" s="79"/>
    </row>
    <row r="68" spans="1:43" s="24" customFormat="1" ht="39.6" customHeight="1">
      <c r="A68" s="17"/>
      <c r="B68" s="71"/>
      <c r="C68" s="72"/>
      <c r="D68" s="388" t="s">
        <v>327</v>
      </c>
      <c r="E68" s="389"/>
      <c r="F68" s="389"/>
      <c r="G68" s="389"/>
      <c r="H68" s="389"/>
      <c r="I68" s="74"/>
      <c r="J68" s="361" t="s">
        <v>328</v>
      </c>
      <c r="K68" s="389"/>
      <c r="L68" s="389"/>
      <c r="M68" s="389"/>
      <c r="N68" s="389"/>
      <c r="O68" s="389"/>
      <c r="P68" s="389"/>
      <c r="Q68" s="389"/>
      <c r="R68" s="389"/>
      <c r="S68" s="389"/>
      <c r="T68" s="389"/>
      <c r="U68" s="389"/>
      <c r="V68" s="389"/>
      <c r="W68" s="389"/>
      <c r="X68" s="389"/>
      <c r="Y68" s="389"/>
      <c r="Z68" s="389"/>
      <c r="AA68" s="389"/>
      <c r="AB68" s="389"/>
      <c r="AC68" s="389"/>
      <c r="AD68" s="389"/>
      <c r="AE68" s="389"/>
      <c r="AF68" s="389"/>
      <c r="AG68" s="390">
        <f>'VON -Vedl.ostat.nákl.'!AK25</f>
        <v>0</v>
      </c>
      <c r="AH68" s="389"/>
      <c r="AI68" s="389"/>
      <c r="AJ68" s="389"/>
      <c r="AK68" s="389"/>
      <c r="AL68" s="389"/>
      <c r="AM68" s="389"/>
      <c r="AN68" s="390">
        <f>'VON -Vedl.ostat.nákl.'!AK34</f>
        <v>0</v>
      </c>
      <c r="AO68" s="389"/>
      <c r="AP68" s="389"/>
      <c r="AQ68" s="79"/>
    </row>
    <row r="69" spans="1:43" s="1" customFormat="1" ht="6" customHeight="1">
      <c r="B69" s="39"/>
      <c r="AQ69" s="42"/>
    </row>
    <row r="70" spans="1:43" s="1" customFormat="1" ht="6.95" customHeight="1"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</row>
    <row r="79" spans="1:43">
      <c r="I79" s="87" t="s">
        <v>636</v>
      </c>
      <c r="J79" s="88"/>
      <c r="K79" s="89"/>
      <c r="AI79" s="88">
        <f>'VON -Vedl.ostat.nákl.'!AI123+'SO 01 - Stáv.obj.'!J1648+'SO 02 - Přístavba'!J1347+'SO 03 - Zpevněné plochy'!J214+'SO 04 - Sadové a terénní'!J128+'INT 01 - Interiér'!J143+'TO 01 - SLP'!J102+'IO 01 - Splašková kanalizace'!J92+'IO 02 - Dešťová kanalizace'!J233+'IO 03 - Vodovodní přípojka'!J92+'IO 04 - Elektro přípojka'!J92+'IO 05 - Plynová přípojka'!J92</f>
        <v>0</v>
      </c>
    </row>
    <row r="80" spans="1:43">
      <c r="I80" s="87" t="s">
        <v>637</v>
      </c>
      <c r="J80" s="88"/>
      <c r="K80" s="89"/>
      <c r="AI80" s="88">
        <f>AG52</f>
        <v>0</v>
      </c>
    </row>
    <row r="81" spans="9:38">
      <c r="I81" s="87" t="s">
        <v>638</v>
      </c>
      <c r="J81" s="88"/>
      <c r="K81" s="87"/>
      <c r="AI81" s="88">
        <f>AI79-AI80</f>
        <v>0</v>
      </c>
      <c r="AL81" s="87" t="s">
        <v>639</v>
      </c>
    </row>
    <row r="82" spans="9:38">
      <c r="I82" s="87" t="s">
        <v>640</v>
      </c>
      <c r="J82" s="88"/>
      <c r="K82" s="87"/>
      <c r="AI82" s="88">
        <f>AK24-AI79</f>
        <v>0</v>
      </c>
      <c r="AL82" s="87" t="s">
        <v>639</v>
      </c>
    </row>
    <row r="83" spans="9:38">
      <c r="I83" s="87" t="s">
        <v>641</v>
      </c>
      <c r="J83" s="88"/>
      <c r="K83" s="87"/>
      <c r="AI83" s="88">
        <f>AN53+AN54+AN55+AN56+AN58+AN60+AN62+AN63+AN64+AN65+AN66+AN68-AI79*1.21</f>
        <v>0</v>
      </c>
      <c r="AL83" s="87" t="s">
        <v>639</v>
      </c>
    </row>
  </sheetData>
  <sheetProtection algorithmName="SHA-512" hashValue="JzTReLI/itrbxFQdSjS3d2l13l4rf+/bEFuQOGoae42hQEwxSj8lZUbbuH1qglK/0VioPQ/geozgZ5xMUtnyGg==" saltValue="KvyzxTrY8Un78oMpQbaoCQ==" spinCount="100000" sheet="1" objects="1" scenarios="1"/>
  <mergeCells count="81">
    <mergeCell ref="D68:H68"/>
    <mergeCell ref="J68:AF68"/>
    <mergeCell ref="AG68:AM68"/>
    <mergeCell ref="AN68:AP68"/>
    <mergeCell ref="AM45:AN45"/>
    <mergeCell ref="AM47:AP47"/>
    <mergeCell ref="D56:H56"/>
    <mergeCell ref="J56:AF56"/>
    <mergeCell ref="AG56:AM56"/>
    <mergeCell ref="AN56:AP56"/>
    <mergeCell ref="D60:H60"/>
    <mergeCell ref="J60:AF60"/>
    <mergeCell ref="AG60:AM60"/>
    <mergeCell ref="AN60:AP60"/>
    <mergeCell ref="D62:H62"/>
    <mergeCell ref="J62:AF62"/>
    <mergeCell ref="L43:AO43"/>
    <mergeCell ref="C50:G50"/>
    <mergeCell ref="I50:AF50"/>
    <mergeCell ref="AG50:AM50"/>
    <mergeCell ref="AN50:AP50"/>
    <mergeCell ref="AN55:AP55"/>
    <mergeCell ref="AG55:AM55"/>
    <mergeCell ref="D55:H55"/>
    <mergeCell ref="J55:AF55"/>
    <mergeCell ref="AG52:AM52"/>
    <mergeCell ref="AN52:AP52"/>
    <mergeCell ref="AN53:AP53"/>
    <mergeCell ref="AG53:AM53"/>
    <mergeCell ref="D53:H53"/>
    <mergeCell ref="J53:AF53"/>
    <mergeCell ref="AN54:AP54"/>
    <mergeCell ref="AG54:AM54"/>
    <mergeCell ref="D54:H54"/>
    <mergeCell ref="J54:AF54"/>
    <mergeCell ref="W31:AE31"/>
    <mergeCell ref="AK31:AO31"/>
    <mergeCell ref="X33:AB33"/>
    <mergeCell ref="AK33:AO33"/>
    <mergeCell ref="L29:O29"/>
    <mergeCell ref="W29:AE29"/>
    <mergeCell ref="AK29:AO29"/>
    <mergeCell ref="L30:O30"/>
    <mergeCell ref="W30:AE30"/>
    <mergeCell ref="AK30:AO30"/>
    <mergeCell ref="L31:O31"/>
    <mergeCell ref="K5:AO5"/>
    <mergeCell ref="K6:AO6"/>
    <mergeCell ref="E21:AN21"/>
    <mergeCell ref="AK24:AO24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AG62:AM62"/>
    <mergeCell ref="AN62:AP62"/>
    <mergeCell ref="D63:H63"/>
    <mergeCell ref="J63:AF63"/>
    <mergeCell ref="AG63:AM63"/>
    <mergeCell ref="AN63:AP63"/>
    <mergeCell ref="D58:H58"/>
    <mergeCell ref="J58:AF58"/>
    <mergeCell ref="AG58:AM58"/>
    <mergeCell ref="AN58:AP58"/>
    <mergeCell ref="D66:H66"/>
    <mergeCell ref="J66:AF66"/>
    <mergeCell ref="AG66:AM66"/>
    <mergeCell ref="AN66:AP66"/>
    <mergeCell ref="D64:H64"/>
    <mergeCell ref="J64:AF64"/>
    <mergeCell ref="AG64:AM64"/>
    <mergeCell ref="AN64:AP64"/>
    <mergeCell ref="D65:H65"/>
    <mergeCell ref="J65:AF65"/>
    <mergeCell ref="AG65:AM65"/>
    <mergeCell ref="AN65:AP65"/>
  </mergeCells>
  <hyperlinks>
    <hyperlink ref="K1:S1" location="C2" tooltip="Rekapitulace stavby" display="1) Rekapitulace stavby" xr:uid="{00000000-0004-0000-0000-000000000000}"/>
    <hyperlink ref="W1:AI1" location="C51" tooltip="Rekapitulace objektů stavby a soupisů prací" display="2) Rekapitulace objektů stavby a soupisů prací" xr:uid="{00000000-0004-0000-0000-000001000000}"/>
    <hyperlink ref="A53" location="'SO 01 - Venkovní objekty'!C2" tooltip="SO 01 - Venkovní objekty" display="/" xr:uid="{00000000-0004-0000-0000-000002000000}"/>
    <hyperlink ref="A54" location="'SO 02 - Hala'!C2" tooltip="SO 02 - Hala" display="/" xr:uid="{00000000-0004-0000-0000-000003000000}"/>
    <hyperlink ref="A55" location="'SO 03 - Zpevněné plochy'!C2" tooltip="SO 03 - Zpevněné plochy" display="/" xr:uid="{00000000-0004-0000-0000-000004000000}"/>
    <hyperlink ref="A56" location="'SO 03 - Zpevněné plochy'!C2" tooltip="SO 03 - Zpevněné plochy" display="/" xr:uid="{DF734AE4-FD87-4BFD-9A1D-275ADC690B34}"/>
    <hyperlink ref="A60" location="'SO 03 - Zpevněné plochy'!C2" tooltip="SO 03 - Zpevněné plochy" display="/" xr:uid="{B9F68F95-CA64-4463-9FF1-ED1CCF8292A8}"/>
    <hyperlink ref="A62" location="'SO 03 - Zpevněné plochy'!C2" tooltip="SO 03 - Zpevněné plochy" display="/" xr:uid="{B80F4A51-BD82-4F88-9C12-66769108360E}"/>
    <hyperlink ref="A63" location="'SO 03 - Zpevněné plochy'!C2" tooltip="SO 03 - Zpevněné plochy" display="/" xr:uid="{2C9399E5-664D-4D0A-84E0-33469E71E36C}"/>
    <hyperlink ref="A64" location="'SO 03 - Zpevněné plochy'!C2" tooltip="SO 03 - Zpevněné plochy" display="/" xr:uid="{95E80779-C20E-4987-B0CD-B82C2229D363}"/>
    <hyperlink ref="A65" location="'SO 03 - Zpevněné plochy'!C2" tooltip="SO 03 - Zpevněné plochy" display="/" xr:uid="{0B699629-7BE8-4EFA-B193-3FD30050AE73}"/>
    <hyperlink ref="A66" location="'SO 03 - Zpevněné plochy'!C2" tooltip="SO 03 - Zpevněné plochy" display="/" xr:uid="{F4FE3EE2-536E-41DB-BDD3-59DC1EA1A279}"/>
    <hyperlink ref="A58" location="'SO 03 - Zpevněné plochy'!C2" tooltip="SO 03 - Zpevněné plochy" display="/" xr:uid="{CE86D71E-590C-417A-A290-9C62ECABC06C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35"/>
  <sheetViews>
    <sheetView showGridLines="0" view="pageBreakPreview" topLeftCell="B1" zoomScaleNormal="100" zoomScaleSheetLayoutView="100" workbookViewId="0">
      <pane ySplit="1" topLeftCell="A199" activePane="bottomLeft" state="frozen"/>
      <selection activeCell="P8" sqref="P8"/>
      <selection pane="bottomLeft" activeCell="I213" sqref="I213"/>
    </sheetView>
  </sheetViews>
  <sheetFormatPr defaultRowHeight="13.5"/>
  <cols>
    <col min="1" max="1" width="8.33203125" hidden="1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4.5" customWidth="1"/>
    <col min="10" max="10" width="23.5" customWidth="1"/>
    <col min="11" max="11" width="15.5" customWidth="1"/>
    <col min="13" max="26" width="0" hidden="1" customWidth="1"/>
  </cols>
  <sheetData>
    <row r="1" spans="1:15" ht="21.75" hidden="1" customHeight="1">
      <c r="A1" s="15"/>
      <c r="B1" s="19"/>
      <c r="C1" s="19"/>
      <c r="D1" s="20" t="s">
        <v>1</v>
      </c>
      <c r="E1" s="19"/>
      <c r="F1" s="18" t="s">
        <v>308</v>
      </c>
      <c r="G1" s="424" t="s">
        <v>309</v>
      </c>
      <c r="H1" s="424"/>
      <c r="I1" s="19"/>
      <c r="J1" s="18" t="s">
        <v>310</v>
      </c>
      <c r="K1" s="20" t="s">
        <v>45</v>
      </c>
    </row>
    <row r="2" spans="1:15" ht="36.950000000000003" hidden="1" customHeight="1"/>
    <row r="3" spans="1:15" ht="6.95" customHeight="1">
      <c r="B3" s="27"/>
      <c r="C3" s="28"/>
      <c r="D3" s="28"/>
      <c r="E3" s="28"/>
      <c r="F3" s="28"/>
      <c r="G3" s="28"/>
      <c r="H3" s="28"/>
      <c r="I3" s="28"/>
      <c r="J3" s="28"/>
      <c r="K3" s="29"/>
    </row>
    <row r="4" spans="1:15" ht="36.950000000000003" customHeight="1">
      <c r="B4" s="30"/>
      <c r="D4" s="31" t="s">
        <v>46</v>
      </c>
      <c r="K4" s="32"/>
      <c r="M4" s="302"/>
      <c r="O4" s="302"/>
    </row>
    <row r="5" spans="1:15" ht="6.95" customHeight="1">
      <c r="B5" s="30"/>
      <c r="K5" s="32"/>
    </row>
    <row r="6" spans="1:15" ht="15">
      <c r="B6" s="30"/>
      <c r="D6" s="35" t="s">
        <v>5</v>
      </c>
      <c r="K6" s="32"/>
    </row>
    <row r="7" spans="1:15" ht="22.5" customHeight="1">
      <c r="B7" s="30"/>
      <c r="E7" s="423" t="str">
        <f>'Rekapitulace stavby'!K6</f>
        <v>Realizace výtahu a rekonstrukce navazujících prostor interiéru budovy Městského úřadu Smržovka</v>
      </c>
      <c r="F7" s="370"/>
      <c r="G7" s="370"/>
      <c r="H7" s="370"/>
      <c r="K7" s="32"/>
    </row>
    <row r="8" spans="1:15" s="1" customFormat="1" ht="15">
      <c r="B8" s="39"/>
      <c r="D8" s="35" t="s">
        <v>47</v>
      </c>
      <c r="K8" s="42"/>
    </row>
    <row r="9" spans="1:15" s="1" customFormat="1" ht="36.950000000000003" customHeight="1">
      <c r="B9" s="39"/>
      <c r="E9" s="382" t="s">
        <v>811</v>
      </c>
      <c r="F9" s="375"/>
      <c r="G9" s="375"/>
      <c r="H9" s="375"/>
      <c r="K9" s="42"/>
    </row>
    <row r="10" spans="1:15" s="1" customFormat="1">
      <c r="B10" s="39"/>
      <c r="K10" s="42"/>
    </row>
    <row r="11" spans="1:15" s="1" customFormat="1" ht="14.45" customHeight="1">
      <c r="B11" s="39"/>
      <c r="D11" s="35" t="s">
        <v>6</v>
      </c>
      <c r="F11" s="36" t="s">
        <v>7</v>
      </c>
      <c r="I11" s="35" t="s">
        <v>8</v>
      </c>
      <c r="J11" s="36" t="s">
        <v>2</v>
      </c>
      <c r="K11" s="42"/>
    </row>
    <row r="12" spans="1:15" s="1" customFormat="1" ht="14.45" customHeight="1">
      <c r="B12" s="39"/>
      <c r="D12" s="35" t="s">
        <v>10</v>
      </c>
      <c r="F12" s="36" t="str">
        <f>'Rekapitulace stavby'!L45</f>
        <v>č.p. 600, st.p.č. 1/1, k.ú. Smržovka [751324]</v>
      </c>
      <c r="I12" s="35" t="s">
        <v>11</v>
      </c>
      <c r="J12" s="92">
        <f>'Rekapitulace stavby'!AN8</f>
        <v>45743</v>
      </c>
      <c r="K12" s="42"/>
    </row>
    <row r="13" spans="1:15" s="1" customFormat="1" ht="10.9" customHeight="1">
      <c r="B13" s="39"/>
      <c r="K13" s="42"/>
    </row>
    <row r="14" spans="1:15" s="1" customFormat="1" ht="14.45" customHeight="1">
      <c r="B14" s="39"/>
      <c r="D14" s="35" t="s">
        <v>12</v>
      </c>
      <c r="I14" s="35" t="s">
        <v>13</v>
      </c>
      <c r="J14" s="36" t="str">
        <f>'Rekapitulace stavby'!AN10</f>
        <v>002 62 579</v>
      </c>
      <c r="K14" s="42"/>
    </row>
    <row r="15" spans="1:15" s="1" customFormat="1" ht="18" customHeight="1">
      <c r="B15" s="39"/>
      <c r="E15" s="36" t="str">
        <f>'Rekapitulace stavby'!E11</f>
        <v>Město Smržovka, nám. T.G.Masaryka č.p. 600, Smržovka, PSČ 46851</v>
      </c>
      <c r="I15" s="35" t="s">
        <v>14</v>
      </c>
      <c r="J15" s="36" t="str">
        <f>'Rekapitulace stavby'!AN11</f>
        <v>CZ00262579</v>
      </c>
      <c r="K15" s="42"/>
    </row>
    <row r="16" spans="1:15" s="1" customFormat="1" ht="6.95" customHeight="1">
      <c r="B16" s="39"/>
      <c r="K16" s="42"/>
    </row>
    <row r="17" spans="2:11" s="1" customFormat="1" ht="14.45" customHeight="1">
      <c r="B17" s="39"/>
      <c r="D17" s="35" t="s">
        <v>15</v>
      </c>
      <c r="I17" s="35" t="s">
        <v>13</v>
      </c>
      <c r="J17" s="36" t="str">
        <f>IF('Rekapitulace stavby'!AN13="Vyplň údaj","",IF('Rekapitulace stavby'!AN13="","",'Rekapitulace stavby'!AN13))</f>
        <v/>
      </c>
      <c r="K17" s="42"/>
    </row>
    <row r="18" spans="2:11" s="1" customFormat="1" ht="18" customHeight="1">
      <c r="B18" s="39"/>
      <c r="E18" s="36" t="str">
        <f>IF('Rekapitulace stavby'!E14="Vyplň údaj","",IF('Rekapitulace stavby'!E14="","",'Rekapitulace stavby'!E14))</f>
        <v xml:space="preserve"> </v>
      </c>
      <c r="I18" s="35" t="s">
        <v>14</v>
      </c>
      <c r="J18" s="36" t="str">
        <f>IF('Rekapitulace stavby'!AN14="Vyplň údaj","",IF('Rekapitulace stavby'!AN14="","",'Rekapitulace stavby'!AN14))</f>
        <v/>
      </c>
      <c r="K18" s="42"/>
    </row>
    <row r="19" spans="2:11" s="1" customFormat="1" ht="6.95" customHeight="1">
      <c r="B19" s="39"/>
      <c r="K19" s="42"/>
    </row>
    <row r="20" spans="2:11" s="1" customFormat="1" ht="14.45" customHeight="1">
      <c r="B20" s="39"/>
      <c r="D20" s="35" t="s">
        <v>17</v>
      </c>
      <c r="I20" s="35" t="s">
        <v>13</v>
      </c>
      <c r="J20" s="36" t="str">
        <f>'Rekapitulace stavby'!AN16</f>
        <v>120 45 357</v>
      </c>
      <c r="K20" s="42"/>
    </row>
    <row r="21" spans="2:11" s="1" customFormat="1" ht="18" customHeight="1">
      <c r="B21" s="39"/>
      <c r="E21" s="36" t="str">
        <f>'Rekapitulace stavby'!E17</f>
        <v>LHOTA - STAVITELSTVÍ</v>
      </c>
      <c r="I21" s="35" t="s">
        <v>14</v>
      </c>
      <c r="J21" s="36" t="s">
        <v>2</v>
      </c>
      <c r="K21" s="42"/>
    </row>
    <row r="22" spans="2:11" s="1" customFormat="1" ht="15">
      <c r="B22" s="39"/>
      <c r="E22" s="36" t="str">
        <f>'Rekapitulace stavby'!E18</f>
        <v>sdružení osob Bohumil Lhota a Ing. Vít Lhota, sídlo: Zásada 311, PSČ 46825</v>
      </c>
      <c r="I22" s="35"/>
      <c r="J22" s="36"/>
      <c r="K22" s="42"/>
    </row>
    <row r="23" spans="2:11" s="1" customFormat="1" ht="15">
      <c r="B23" s="39"/>
      <c r="E23" s="299" t="str">
        <f>'Rekapitulace stavby'!E19</f>
        <v>ateliér: Smetanova 1809/82, Jablonec nad Nisou, PSČ 46601</v>
      </c>
      <c r="K23" s="42"/>
    </row>
    <row r="24" spans="2:11" s="1" customFormat="1" ht="14.45" customHeight="1">
      <c r="B24" s="39"/>
      <c r="D24" s="35" t="s">
        <v>18</v>
      </c>
      <c r="K24" s="42"/>
    </row>
    <row r="25" spans="2:11" s="6" customFormat="1" ht="22.5" customHeight="1">
      <c r="B25" s="93"/>
      <c r="E25" s="371" t="str">
        <f>'Rekapitulace stavby'!E21:AN21</f>
        <v>Provedeno na základě předložené dokumentace "DSJ".</v>
      </c>
      <c r="F25" s="427"/>
      <c r="G25" s="427"/>
      <c r="H25" s="427"/>
      <c r="K25" s="94"/>
    </row>
    <row r="26" spans="2:11" s="1" customFormat="1" ht="6.95" customHeight="1">
      <c r="B26" s="39"/>
      <c r="K26" s="42"/>
    </row>
    <row r="27" spans="2:11" s="1" customFormat="1" ht="6.95" customHeight="1">
      <c r="B27" s="39"/>
      <c r="D27" s="61"/>
      <c r="E27" s="61"/>
      <c r="F27" s="61"/>
      <c r="G27" s="61"/>
      <c r="H27" s="61"/>
      <c r="I27" s="61"/>
      <c r="J27" s="61"/>
      <c r="K27" s="95"/>
    </row>
    <row r="28" spans="2:11" s="1" customFormat="1" ht="25.35" customHeight="1">
      <c r="B28" s="39"/>
      <c r="D28" s="96" t="s">
        <v>19</v>
      </c>
      <c r="J28" s="97">
        <f>ROUND(J79,2)</f>
        <v>0</v>
      </c>
      <c r="K28" s="42"/>
    </row>
    <row r="29" spans="2:11" s="1" customFormat="1" ht="6.95" customHeight="1">
      <c r="B29" s="39"/>
      <c r="D29" s="61"/>
      <c r="E29" s="61"/>
      <c r="F29" s="61"/>
      <c r="G29" s="61"/>
      <c r="H29" s="61"/>
      <c r="I29" s="61"/>
      <c r="J29" s="61"/>
      <c r="K29" s="95"/>
    </row>
    <row r="30" spans="2:11" s="1" customFormat="1" ht="14.45" customHeight="1">
      <c r="B30" s="39"/>
      <c r="F30" s="98" t="s">
        <v>21</v>
      </c>
      <c r="I30" s="98" t="s">
        <v>20</v>
      </c>
      <c r="J30" s="98" t="s">
        <v>22</v>
      </c>
      <c r="K30" s="42"/>
    </row>
    <row r="31" spans="2:11" s="1" customFormat="1" ht="14.45" customHeight="1">
      <c r="B31" s="39"/>
      <c r="D31" s="44" t="s">
        <v>23</v>
      </c>
      <c r="E31" s="44" t="s">
        <v>24</v>
      </c>
      <c r="F31" s="99">
        <f>ROUND(SUM(J28), 2)</f>
        <v>0</v>
      </c>
      <c r="I31" s="100">
        <v>0.21</v>
      </c>
      <c r="J31" s="99">
        <f>ROUND(ROUND((SUM(F31)), 2)*I31, 2)</f>
        <v>0</v>
      </c>
      <c r="K31" s="42"/>
    </row>
    <row r="32" spans="2:11" s="1" customFormat="1" ht="14.45" customHeight="1">
      <c r="B32" s="39"/>
      <c r="E32" s="44" t="s">
        <v>25</v>
      </c>
      <c r="F32" s="99">
        <v>0</v>
      </c>
      <c r="I32" s="100">
        <v>0.15</v>
      </c>
      <c r="J32" s="99">
        <f>ROUND(ROUND((SUM(F32)), 2)*I32, 2)</f>
        <v>0</v>
      </c>
      <c r="K32" s="42"/>
    </row>
    <row r="33" spans="2:11" s="1" customFormat="1" ht="14.45" hidden="1" customHeight="1">
      <c r="B33" s="39"/>
      <c r="E33" s="44" t="s">
        <v>26</v>
      </c>
      <c r="F33" s="99" t="e">
        <f>ROUND(SUM(#REF!), 2)</f>
        <v>#REF!</v>
      </c>
      <c r="I33" s="100">
        <v>0.21</v>
      </c>
      <c r="J33" s="99">
        <v>0</v>
      </c>
      <c r="K33" s="42"/>
    </row>
    <row r="34" spans="2:11" s="1" customFormat="1" ht="14.45" hidden="1" customHeight="1">
      <c r="B34" s="39"/>
      <c r="E34" s="44" t="s">
        <v>27</v>
      </c>
      <c r="F34" s="99" t="e">
        <f>ROUND(SUM(#REF!), 2)</f>
        <v>#REF!</v>
      </c>
      <c r="I34" s="100">
        <v>0.15</v>
      </c>
      <c r="J34" s="99">
        <v>0</v>
      </c>
      <c r="K34" s="42"/>
    </row>
    <row r="35" spans="2:11" s="1" customFormat="1" ht="14.45" hidden="1" customHeight="1">
      <c r="B35" s="39"/>
      <c r="E35" s="44" t="s">
        <v>28</v>
      </c>
      <c r="F35" s="99" t="e">
        <f>ROUND(SUM(#REF!), 2)</f>
        <v>#REF!</v>
      </c>
      <c r="I35" s="100">
        <v>0</v>
      </c>
      <c r="J35" s="99">
        <v>0</v>
      </c>
      <c r="K35" s="42"/>
    </row>
    <row r="36" spans="2:11" s="1" customFormat="1" ht="6.95" customHeight="1">
      <c r="B36" s="39"/>
      <c r="K36" s="42"/>
    </row>
    <row r="37" spans="2:11" s="1" customFormat="1" ht="25.35" customHeight="1">
      <c r="B37" s="39"/>
      <c r="C37" s="101"/>
      <c r="D37" s="102" t="s">
        <v>29</v>
      </c>
      <c r="E37" s="62"/>
      <c r="F37" s="62"/>
      <c r="G37" s="103" t="s">
        <v>30</v>
      </c>
      <c r="H37" s="104" t="s">
        <v>31</v>
      </c>
      <c r="I37" s="62"/>
      <c r="J37" s="105">
        <f>SUM(J28:J35)</f>
        <v>0</v>
      </c>
      <c r="K37" s="106"/>
    </row>
    <row r="38" spans="2:11" s="1" customFormat="1" ht="14.45" customHeight="1">
      <c r="B38" s="51"/>
      <c r="C38" s="52"/>
      <c r="D38" s="52"/>
      <c r="E38" s="52"/>
      <c r="F38" s="52"/>
      <c r="G38" s="52"/>
      <c r="H38" s="52"/>
      <c r="I38" s="52"/>
      <c r="J38" s="52"/>
      <c r="K38" s="53"/>
    </row>
    <row r="42" spans="2:11" s="1" customFormat="1" ht="6.95" customHeight="1">
      <c r="B42" s="54"/>
      <c r="C42" s="55"/>
      <c r="D42" s="55"/>
      <c r="E42" s="55"/>
      <c r="F42" s="55"/>
      <c r="G42" s="55"/>
      <c r="H42" s="55"/>
      <c r="I42" s="55"/>
      <c r="J42" s="55"/>
      <c r="K42" s="107"/>
    </row>
    <row r="43" spans="2:11" s="1" customFormat="1" ht="36.950000000000003" customHeight="1">
      <c r="B43" s="39"/>
      <c r="C43" s="31" t="s">
        <v>48</v>
      </c>
      <c r="K43" s="42"/>
    </row>
    <row r="44" spans="2:11" s="1" customFormat="1" ht="6.95" customHeight="1">
      <c r="B44" s="39"/>
      <c r="K44" s="42"/>
    </row>
    <row r="45" spans="2:11" s="1" customFormat="1" ht="14.45" customHeight="1">
      <c r="B45" s="39"/>
      <c r="C45" s="35" t="s">
        <v>5</v>
      </c>
      <c r="K45" s="42"/>
    </row>
    <row r="46" spans="2:11" s="1" customFormat="1" ht="22.5" customHeight="1">
      <c r="B46" s="39"/>
      <c r="E46" s="423" t="str">
        <f>E7</f>
        <v>Realizace výtahu a rekonstrukce navazujících prostor interiéru budovy Městského úřadu Smržovka</v>
      </c>
      <c r="F46" s="375"/>
      <c r="G46" s="375"/>
      <c r="H46" s="375"/>
      <c r="K46" s="42"/>
    </row>
    <row r="47" spans="2:11" s="1" customFormat="1" ht="14.45" customHeight="1">
      <c r="B47" s="39"/>
      <c r="C47" s="35" t="s">
        <v>47</v>
      </c>
      <c r="K47" s="42"/>
    </row>
    <row r="48" spans="2:11" s="1" customFormat="1" ht="23.25" customHeight="1">
      <c r="B48" s="39"/>
      <c r="E48" s="382" t="str">
        <f>E9</f>
        <v>IO 02 - Dešťová kanalizace</v>
      </c>
      <c r="F48" s="375"/>
      <c r="G48" s="375"/>
      <c r="H48" s="375"/>
      <c r="K48" s="42"/>
    </row>
    <row r="49" spans="2:11" s="1" customFormat="1" ht="6.95" customHeight="1">
      <c r="B49" s="39"/>
      <c r="K49" s="42"/>
    </row>
    <row r="50" spans="2:11" s="1" customFormat="1" ht="18" customHeight="1">
      <c r="B50" s="39"/>
      <c r="C50" s="35" t="s">
        <v>10</v>
      </c>
      <c r="F50" s="36" t="str">
        <f>F12</f>
        <v>č.p. 600, st.p.č. 1/1, k.ú. Smržovka [751324]</v>
      </c>
      <c r="I50" s="35" t="s">
        <v>11</v>
      </c>
      <c r="J50" s="92">
        <f>IF(J12="","",J12)</f>
        <v>45743</v>
      </c>
      <c r="K50" s="42"/>
    </row>
    <row r="51" spans="2:11" s="1" customFormat="1" ht="6.95" customHeight="1">
      <c r="B51" s="39"/>
      <c r="K51" s="42"/>
    </row>
    <row r="52" spans="2:11" s="1" customFormat="1" ht="15">
      <c r="B52" s="39"/>
      <c r="C52" s="35" t="s">
        <v>12</v>
      </c>
      <c r="F52" s="36" t="str">
        <f>E15</f>
        <v>Město Smržovka, nám. T.G.Masaryka č.p. 600, Smržovka, PSČ 46851</v>
      </c>
      <c r="I52" s="35" t="s">
        <v>17</v>
      </c>
      <c r="J52" s="36" t="str">
        <f>E21</f>
        <v>LHOTA - STAVITELSTVÍ</v>
      </c>
      <c r="K52" s="42"/>
    </row>
    <row r="53" spans="2:11" s="1" customFormat="1" ht="14.45" customHeight="1">
      <c r="B53" s="39"/>
      <c r="C53" s="35" t="s">
        <v>15</v>
      </c>
      <c r="F53" s="36" t="str">
        <f>IF(E18="","",E18)</f>
        <v xml:space="preserve"> </v>
      </c>
      <c r="K53" s="42"/>
    </row>
    <row r="54" spans="2:11" s="1" customFormat="1" ht="10.35" customHeight="1">
      <c r="B54" s="39"/>
      <c r="K54" s="42"/>
    </row>
    <row r="55" spans="2:11" s="1" customFormat="1" ht="29.25" customHeight="1">
      <c r="B55" s="39"/>
      <c r="C55" s="108" t="s">
        <v>49</v>
      </c>
      <c r="D55" s="101"/>
      <c r="E55" s="101"/>
      <c r="F55" s="101"/>
      <c r="G55" s="101"/>
      <c r="H55" s="101"/>
      <c r="I55" s="101"/>
      <c r="J55" s="109" t="s">
        <v>50</v>
      </c>
      <c r="K55" s="110"/>
    </row>
    <row r="56" spans="2:11" s="1" customFormat="1" ht="10.35" customHeight="1">
      <c r="B56" s="39"/>
      <c r="K56" s="42"/>
    </row>
    <row r="57" spans="2:11" s="1" customFormat="1" ht="29.25" customHeight="1">
      <c r="B57" s="39"/>
      <c r="C57" s="111" t="s">
        <v>51</v>
      </c>
      <c r="J57" s="97">
        <f>J79</f>
        <v>0</v>
      </c>
      <c r="K57" s="42"/>
    </row>
    <row r="58" spans="2:11" s="7" customFormat="1" ht="24.95" customHeight="1">
      <c r="B58" s="112"/>
      <c r="D58" s="113" t="s">
        <v>52</v>
      </c>
      <c r="E58" s="114"/>
      <c r="F58" s="114"/>
      <c r="G58" s="114"/>
      <c r="H58" s="114"/>
      <c r="I58" s="114"/>
      <c r="J58" s="115">
        <f>J80</f>
        <v>0</v>
      </c>
      <c r="K58" s="116"/>
    </row>
    <row r="59" spans="2:11" s="8" customFormat="1" ht="19.899999999999999" customHeight="1">
      <c r="B59" s="117"/>
      <c r="D59" s="118" t="s">
        <v>53</v>
      </c>
      <c r="E59" s="119"/>
      <c r="F59" s="119"/>
      <c r="G59" s="119"/>
      <c r="H59" s="119"/>
      <c r="I59" s="119"/>
      <c r="J59" s="120">
        <f>J81</f>
        <v>0</v>
      </c>
      <c r="K59" s="121"/>
    </row>
    <row r="60" spans="2:11" s="1" customFormat="1" ht="21.75" customHeight="1">
      <c r="B60" s="39"/>
      <c r="K60" s="42"/>
    </row>
    <row r="61" spans="2:11" s="1" customFormat="1" ht="6.95" customHeight="1">
      <c r="B61" s="51"/>
      <c r="C61" s="52"/>
      <c r="D61" s="52"/>
      <c r="E61" s="52"/>
      <c r="F61" s="52"/>
      <c r="G61" s="52"/>
      <c r="H61" s="52"/>
      <c r="I61" s="52"/>
      <c r="J61" s="52"/>
      <c r="K61" s="53"/>
    </row>
    <row r="65" spans="2:11" s="1" customFormat="1" ht="6.95" customHeight="1">
      <c r="B65" s="54"/>
      <c r="C65" s="55"/>
      <c r="D65" s="55"/>
      <c r="E65" s="55"/>
      <c r="F65" s="55"/>
      <c r="G65" s="55"/>
      <c r="H65" s="55"/>
      <c r="I65" s="55"/>
      <c r="J65" s="55"/>
      <c r="K65" s="55"/>
    </row>
    <row r="66" spans="2:11" s="1" customFormat="1" ht="36.950000000000003" customHeight="1">
      <c r="B66" s="39"/>
      <c r="C66" s="31" t="s">
        <v>54</v>
      </c>
    </row>
    <row r="67" spans="2:11" s="1" customFormat="1" ht="6.95" customHeight="1">
      <c r="B67" s="39"/>
    </row>
    <row r="68" spans="2:11" s="1" customFormat="1" ht="14.45" customHeight="1">
      <c r="B68" s="39"/>
      <c r="C68" s="35" t="s">
        <v>5</v>
      </c>
    </row>
    <row r="69" spans="2:11" s="1" customFormat="1" ht="22.5" customHeight="1">
      <c r="B69" s="39"/>
      <c r="E69" s="423" t="str">
        <f>E7</f>
        <v>Realizace výtahu a rekonstrukce navazujících prostor interiéru budovy Městského úřadu Smržovka</v>
      </c>
      <c r="F69" s="375"/>
      <c r="G69" s="375"/>
      <c r="H69" s="375"/>
    </row>
    <row r="70" spans="2:11" s="1" customFormat="1" ht="14.45" customHeight="1">
      <c r="B70" s="39"/>
      <c r="C70" s="35" t="s">
        <v>47</v>
      </c>
    </row>
    <row r="71" spans="2:11" s="1" customFormat="1" ht="23.25" customHeight="1">
      <c r="B71" s="39"/>
      <c r="E71" s="382" t="str">
        <f>E9</f>
        <v>IO 02 - Dešťová kanalizace</v>
      </c>
      <c r="F71" s="375"/>
      <c r="G71" s="375"/>
      <c r="H71" s="375"/>
    </row>
    <row r="72" spans="2:11" s="1" customFormat="1" ht="6.95" customHeight="1">
      <c r="B72" s="39"/>
    </row>
    <row r="73" spans="2:11" s="1" customFormat="1" ht="18" customHeight="1">
      <c r="B73" s="39"/>
      <c r="C73" s="35" t="s">
        <v>10</v>
      </c>
      <c r="F73" s="36" t="str">
        <f>F12</f>
        <v>č.p. 600, st.p.č. 1/1, k.ú. Smržovka [751324]</v>
      </c>
      <c r="I73" s="35" t="s">
        <v>11</v>
      </c>
      <c r="J73" s="92">
        <f>IF(J12="","",J12)</f>
        <v>45743</v>
      </c>
    </row>
    <row r="74" spans="2:11" s="1" customFormat="1" ht="6.95" customHeight="1">
      <c r="B74" s="39"/>
    </row>
    <row r="75" spans="2:11" s="1" customFormat="1" ht="15">
      <c r="B75" s="39"/>
      <c r="C75" s="35" t="s">
        <v>12</v>
      </c>
      <c r="F75" s="36" t="str">
        <f>E15</f>
        <v>Město Smržovka, nám. T.G.Masaryka č.p. 600, Smržovka, PSČ 46851</v>
      </c>
      <c r="I75" s="35" t="s">
        <v>17</v>
      </c>
      <c r="J75" s="36" t="str">
        <f>E21</f>
        <v>LHOTA - STAVITELSTVÍ</v>
      </c>
    </row>
    <row r="76" spans="2:11" s="1" customFormat="1" ht="14.45" customHeight="1">
      <c r="B76" s="39"/>
      <c r="C76" s="35" t="s">
        <v>15</v>
      </c>
      <c r="F76" s="36" t="str">
        <f>IF(E18="","",E18)</f>
        <v xml:space="preserve"> </v>
      </c>
    </row>
    <row r="77" spans="2:11" s="1" customFormat="1" ht="10.35" customHeight="1">
      <c r="B77" s="39"/>
    </row>
    <row r="78" spans="2:11" s="9" customFormat="1" ht="29.25" customHeight="1">
      <c r="B78" s="122"/>
      <c r="C78" s="123" t="s">
        <v>55</v>
      </c>
      <c r="D78" s="124" t="s">
        <v>37</v>
      </c>
      <c r="E78" s="124" t="s">
        <v>33</v>
      </c>
      <c r="F78" s="124" t="s">
        <v>56</v>
      </c>
      <c r="G78" s="124" t="s">
        <v>57</v>
      </c>
      <c r="H78" s="124" t="s">
        <v>58</v>
      </c>
      <c r="I78" s="125" t="s">
        <v>59</v>
      </c>
      <c r="J78" s="124" t="s">
        <v>50</v>
      </c>
      <c r="K78" s="126" t="s">
        <v>60</v>
      </c>
    </row>
    <row r="79" spans="2:11" s="1" customFormat="1" ht="29.25" customHeight="1">
      <c r="B79" s="39"/>
      <c r="C79" s="64" t="s">
        <v>51</v>
      </c>
      <c r="J79" s="127">
        <f>J80</f>
        <v>0</v>
      </c>
    </row>
    <row r="80" spans="2:11" s="10" customFormat="1" ht="24" customHeight="1">
      <c r="B80" s="128"/>
      <c r="D80" s="129" t="s">
        <v>39</v>
      </c>
      <c r="E80" s="130" t="s">
        <v>62</v>
      </c>
      <c r="F80" s="130" t="s">
        <v>63</v>
      </c>
      <c r="J80" s="131">
        <f>J81</f>
        <v>0</v>
      </c>
    </row>
    <row r="81" spans="2:11" s="10" customFormat="1" ht="19.899999999999999" customHeight="1">
      <c r="B81" s="128"/>
      <c r="D81" s="129" t="s">
        <v>39</v>
      </c>
      <c r="E81" s="133" t="s">
        <v>64</v>
      </c>
      <c r="F81" s="133" t="s">
        <v>825</v>
      </c>
      <c r="J81" s="134">
        <f>SUM(J82:J222)</f>
        <v>0</v>
      </c>
    </row>
    <row r="82" spans="2:11" s="1" customFormat="1" ht="22.5" customHeight="1">
      <c r="B82" s="39"/>
      <c r="C82" s="135">
        <v>1</v>
      </c>
      <c r="D82" s="135" t="s">
        <v>65</v>
      </c>
      <c r="E82" s="136" t="s">
        <v>612</v>
      </c>
      <c r="F82" s="137" t="s">
        <v>611</v>
      </c>
      <c r="G82" s="138" t="s">
        <v>155</v>
      </c>
      <c r="H82" s="139">
        <f>H84</f>
        <v>10.219999999999999</v>
      </c>
      <c r="I82" s="90"/>
      <c r="J82" s="140">
        <f>ROUND(I82*H82,2)</f>
        <v>0</v>
      </c>
      <c r="K82" s="137"/>
    </row>
    <row r="83" spans="2:11" s="11" customFormat="1" ht="27">
      <c r="B83" s="141"/>
      <c r="D83" s="142" t="s">
        <v>95</v>
      </c>
      <c r="E83" s="143" t="s">
        <v>2</v>
      </c>
      <c r="F83" s="144" t="s">
        <v>826</v>
      </c>
      <c r="H83" s="145">
        <f>(0.67+2.62+0.5+4.02+0.5+0.41+0.83+0.67)</f>
        <v>10.219999999999999</v>
      </c>
    </row>
    <row r="84" spans="2:11" s="12" customFormat="1">
      <c r="B84" s="146"/>
      <c r="D84" s="142" t="s">
        <v>95</v>
      </c>
      <c r="E84" s="147" t="s">
        <v>2</v>
      </c>
      <c r="F84" s="148" t="s">
        <v>96</v>
      </c>
      <c r="H84" s="149">
        <f>SUM(H83:H83)</f>
        <v>10.219999999999999</v>
      </c>
    </row>
    <row r="85" spans="2:11" s="1" customFormat="1" ht="22.5" customHeight="1">
      <c r="B85" s="39"/>
      <c r="C85" s="135">
        <f>C82+1</f>
        <v>2</v>
      </c>
      <c r="D85" s="135" t="s">
        <v>65</v>
      </c>
      <c r="E85" s="136" t="s">
        <v>576</v>
      </c>
      <c r="F85" s="137" t="s">
        <v>577</v>
      </c>
      <c r="G85" s="138" t="s">
        <v>94</v>
      </c>
      <c r="H85" s="139">
        <f>H89</f>
        <v>6.4931999999999999</v>
      </c>
      <c r="I85" s="90"/>
      <c r="J85" s="140">
        <f>ROUND(I85*H85,2)</f>
        <v>0</v>
      </c>
      <c r="K85" s="137"/>
    </row>
    <row r="86" spans="2:11" s="11" customFormat="1">
      <c r="B86" s="141"/>
      <c r="D86" s="142" t="s">
        <v>95</v>
      </c>
      <c r="E86" s="143" t="s">
        <v>2</v>
      </c>
      <c r="F86" s="144" t="s">
        <v>837</v>
      </c>
      <c r="H86" s="145">
        <f>(0.84+0.6+0.93)*0.6*1.2</f>
        <v>1.7063999999999999</v>
      </c>
    </row>
    <row r="87" spans="2:11" s="11" customFormat="1">
      <c r="B87" s="141"/>
      <c r="D87" s="142" t="s">
        <v>95</v>
      </c>
      <c r="E87" s="143" t="s">
        <v>2</v>
      </c>
      <c r="F87" s="144" t="s">
        <v>828</v>
      </c>
      <c r="H87" s="145">
        <f>(1.02+0.6+0.77)*0.6*1.2</f>
        <v>1.7207999999999999</v>
      </c>
    </row>
    <row r="88" spans="2:11" s="11" customFormat="1" ht="27">
      <c r="B88" s="141"/>
      <c r="D88" s="142" t="s">
        <v>95</v>
      </c>
      <c r="E88" s="143" t="s">
        <v>2</v>
      </c>
      <c r="F88" s="144" t="s">
        <v>827</v>
      </c>
      <c r="H88" s="145">
        <f>(0.67+2.62+0.5+4.02+0.5+0.41+0.83+0.67)*0.6*0.5</f>
        <v>3.0659999999999994</v>
      </c>
    </row>
    <row r="89" spans="2:11" s="12" customFormat="1">
      <c r="B89" s="146"/>
      <c r="D89" s="142" t="s">
        <v>95</v>
      </c>
      <c r="E89" s="147" t="s">
        <v>2</v>
      </c>
      <c r="F89" s="148" t="s">
        <v>96</v>
      </c>
      <c r="H89" s="149">
        <f>SUM(H86:H88)</f>
        <v>6.4931999999999999</v>
      </c>
    </row>
    <row r="90" spans="2:11" s="1" customFormat="1" ht="22.5" customHeight="1">
      <c r="B90" s="39"/>
      <c r="C90" s="135">
        <f>C85+1</f>
        <v>3</v>
      </c>
      <c r="D90" s="135" t="s">
        <v>65</v>
      </c>
      <c r="E90" s="136" t="s">
        <v>578</v>
      </c>
      <c r="F90" s="137" t="s">
        <v>579</v>
      </c>
      <c r="G90" s="138" t="s">
        <v>94</v>
      </c>
      <c r="H90" s="139">
        <f>H94</f>
        <v>2.9015</v>
      </c>
      <c r="I90" s="90"/>
      <c r="J90" s="140">
        <f>ROUND(I90*H90,2)</f>
        <v>0</v>
      </c>
      <c r="K90" s="137"/>
    </row>
    <row r="91" spans="2:11" s="11" customFormat="1">
      <c r="B91" s="141"/>
      <c r="D91" s="142" t="s">
        <v>95</v>
      </c>
      <c r="E91" s="143" t="s">
        <v>2</v>
      </c>
      <c r="F91" s="144" t="s">
        <v>829</v>
      </c>
      <c r="H91" s="145">
        <f>((0.6*0.6)*1.2)*2</f>
        <v>0.86399999999999999</v>
      </c>
    </row>
    <row r="92" spans="2:11" s="11" customFormat="1">
      <c r="B92" s="141"/>
      <c r="D92" s="142" t="s">
        <v>95</v>
      </c>
      <c r="E92" s="143" t="s">
        <v>2</v>
      </c>
      <c r="F92" s="144" t="s">
        <v>831</v>
      </c>
      <c r="H92" s="145">
        <f>((0.5*0.5)*0.75)*1</f>
        <v>0.1875</v>
      </c>
    </row>
    <row r="93" spans="2:11" s="11" customFormat="1">
      <c r="B93" s="141"/>
      <c r="D93" s="142" t="s">
        <v>95</v>
      </c>
      <c r="E93" s="143" t="s">
        <v>2</v>
      </c>
      <c r="F93" s="144" t="s">
        <v>830</v>
      </c>
      <c r="H93" s="145">
        <f>((1*1)*1.85)*1</f>
        <v>1.85</v>
      </c>
    </row>
    <row r="94" spans="2:11" s="12" customFormat="1">
      <c r="B94" s="146"/>
      <c r="D94" s="142" t="s">
        <v>95</v>
      </c>
      <c r="E94" s="147" t="s">
        <v>2</v>
      </c>
      <c r="F94" s="148" t="s">
        <v>96</v>
      </c>
      <c r="H94" s="149">
        <f>SUM(H91:H93)</f>
        <v>2.9015</v>
      </c>
    </row>
    <row r="95" spans="2:11" s="1" customFormat="1" ht="22.5" customHeight="1">
      <c r="B95" s="39"/>
      <c r="C95" s="135">
        <f>C90+1</f>
        <v>4</v>
      </c>
      <c r="D95" s="135" t="s">
        <v>65</v>
      </c>
      <c r="E95" s="136" t="s">
        <v>583</v>
      </c>
      <c r="F95" s="137" t="s">
        <v>582</v>
      </c>
      <c r="G95" s="138" t="s">
        <v>94</v>
      </c>
      <c r="H95" s="139">
        <f>H98</f>
        <v>0.85680000000000001</v>
      </c>
      <c r="I95" s="90"/>
      <c r="J95" s="140">
        <f>ROUND(I95*H95,2)</f>
        <v>0</v>
      </c>
      <c r="K95" s="137"/>
    </row>
    <row r="96" spans="2:11" s="11" customFormat="1">
      <c r="B96" s="141"/>
      <c r="D96" s="142" t="s">
        <v>95</v>
      </c>
      <c r="E96" s="143" t="s">
        <v>2</v>
      </c>
      <c r="F96" s="144" t="s">
        <v>832</v>
      </c>
      <c r="H96" s="145">
        <f>((0.84+0.6+0.93)*0.6)*0.3</f>
        <v>0.42659999999999998</v>
      </c>
    </row>
    <row r="97" spans="2:11" s="11" customFormat="1">
      <c r="B97" s="141"/>
      <c r="D97" s="142" t="s">
        <v>95</v>
      </c>
      <c r="E97" s="143" t="s">
        <v>2</v>
      </c>
      <c r="F97" s="144" t="s">
        <v>833</v>
      </c>
      <c r="H97" s="145">
        <f>(1.02+0.6+0.77)*0.6*0.3</f>
        <v>0.43019999999999997</v>
      </c>
    </row>
    <row r="98" spans="2:11" s="12" customFormat="1">
      <c r="B98" s="146"/>
      <c r="D98" s="142" t="s">
        <v>95</v>
      </c>
      <c r="E98" s="147" t="s">
        <v>2</v>
      </c>
      <c r="F98" s="148" t="s">
        <v>96</v>
      </c>
      <c r="H98" s="149">
        <f>SUM(H96:H97)</f>
        <v>0.85680000000000001</v>
      </c>
    </row>
    <row r="99" spans="2:11" s="1" customFormat="1" ht="22.5" customHeight="1">
      <c r="B99" s="39"/>
      <c r="C99" s="135">
        <f>C95+1</f>
        <v>5</v>
      </c>
      <c r="D99" s="135" t="s">
        <v>65</v>
      </c>
      <c r="E99" s="136" t="s">
        <v>581</v>
      </c>
      <c r="F99" s="137" t="s">
        <v>580</v>
      </c>
      <c r="G99" s="138" t="s">
        <v>94</v>
      </c>
      <c r="H99" s="139">
        <f>H104</f>
        <v>3.8719999999999999</v>
      </c>
      <c r="I99" s="90"/>
      <c r="J99" s="140">
        <f>ROUND(I99*H99,2)</f>
        <v>0</v>
      </c>
      <c r="K99" s="137"/>
    </row>
    <row r="100" spans="2:11" s="11" customFormat="1">
      <c r="B100" s="141"/>
      <c r="D100" s="142" t="s">
        <v>95</v>
      </c>
      <c r="E100" s="143" t="s">
        <v>2</v>
      </c>
      <c r="F100" s="144" t="s">
        <v>836</v>
      </c>
      <c r="H100" s="145">
        <f>((0.84+0.6+0.93)*0.6)*1.2</f>
        <v>1.7063999999999999</v>
      </c>
    </row>
    <row r="101" spans="2:11" s="11" customFormat="1">
      <c r="B101" s="141"/>
      <c r="D101" s="142" t="s">
        <v>95</v>
      </c>
      <c r="E101" s="143" t="s">
        <v>2</v>
      </c>
      <c r="F101" s="144" t="s">
        <v>838</v>
      </c>
      <c r="H101" s="145">
        <f>((1.02+0.6+0.77)*0.6)*0.9</f>
        <v>1.2906</v>
      </c>
    </row>
    <row r="102" spans="2:11" s="11" customFormat="1">
      <c r="B102" s="141"/>
      <c r="D102" s="142" t="s">
        <v>95</v>
      </c>
      <c r="E102" s="143" t="s">
        <v>2</v>
      </c>
      <c r="F102" s="144" t="s">
        <v>834</v>
      </c>
      <c r="H102" s="145">
        <f>((0.5*0.5)*0.5)*1</f>
        <v>0.125</v>
      </c>
    </row>
    <row r="103" spans="2:11" s="11" customFormat="1">
      <c r="B103" s="141"/>
      <c r="D103" s="142" t="s">
        <v>95</v>
      </c>
      <c r="E103" s="143" t="s">
        <v>2</v>
      </c>
      <c r="F103" s="144" t="s">
        <v>835</v>
      </c>
      <c r="H103" s="145">
        <f>((1*1)*0.75)*1</f>
        <v>0.75</v>
      </c>
    </row>
    <row r="104" spans="2:11" s="12" customFormat="1">
      <c r="B104" s="146"/>
      <c r="D104" s="142" t="s">
        <v>95</v>
      </c>
      <c r="E104" s="147" t="s">
        <v>2</v>
      </c>
      <c r="F104" s="148" t="s">
        <v>96</v>
      </c>
      <c r="H104" s="149">
        <f>SUM(H100:H103)</f>
        <v>3.8719999999999999</v>
      </c>
    </row>
    <row r="105" spans="2:11" s="1" customFormat="1" ht="22.5" customHeight="1">
      <c r="B105" s="39"/>
      <c r="C105" s="135">
        <f>C99+1</f>
        <v>6</v>
      </c>
      <c r="D105" s="135" t="s">
        <v>65</v>
      </c>
      <c r="E105" s="136" t="s">
        <v>584</v>
      </c>
      <c r="F105" s="137" t="s">
        <v>585</v>
      </c>
      <c r="G105" s="138" t="s">
        <v>94</v>
      </c>
      <c r="H105" s="139">
        <f>H112</f>
        <v>9.821299999999999</v>
      </c>
      <c r="I105" s="90"/>
      <c r="J105" s="140">
        <f>ROUND(I105*H105,2)</f>
        <v>0</v>
      </c>
      <c r="K105" s="137"/>
    </row>
    <row r="106" spans="2:11" s="11" customFormat="1">
      <c r="B106" s="141"/>
      <c r="D106" s="142" t="s">
        <v>95</v>
      </c>
      <c r="E106" s="143" t="s">
        <v>2</v>
      </c>
      <c r="F106" s="144" t="s">
        <v>839</v>
      </c>
      <c r="H106" s="145">
        <f>(0.84+0.6+0.93)*0.6*1.5</f>
        <v>2.133</v>
      </c>
    </row>
    <row r="107" spans="2:11" s="11" customFormat="1">
      <c r="B107" s="141"/>
      <c r="D107" s="142" t="s">
        <v>95</v>
      </c>
      <c r="E107" s="143"/>
      <c r="F107" s="144" t="s">
        <v>840</v>
      </c>
      <c r="H107" s="145">
        <f>(1.02+0.6+0.77)*0.6*1.2</f>
        <v>1.7207999999999999</v>
      </c>
    </row>
    <row r="108" spans="2:11" s="11" customFormat="1" ht="27">
      <c r="B108" s="141"/>
      <c r="D108" s="142" t="s">
        <v>95</v>
      </c>
      <c r="E108" s="143"/>
      <c r="F108" s="144" t="s">
        <v>841</v>
      </c>
      <c r="H108" s="145">
        <f>(0.67+2.62+0.5+4.02+0.5+0.41+0.83+0.67)*0.6*0.5</f>
        <v>3.0659999999999994</v>
      </c>
    </row>
    <row r="109" spans="2:11" s="11" customFormat="1">
      <c r="B109" s="141"/>
      <c r="D109" s="142" t="s">
        <v>95</v>
      </c>
      <c r="E109" s="143"/>
      <c r="F109" s="144" t="s">
        <v>842</v>
      </c>
      <c r="H109" s="145">
        <f>((0.6*0.6)*1.2)*2</f>
        <v>0.86399999999999999</v>
      </c>
    </row>
    <row r="110" spans="2:11" s="11" customFormat="1">
      <c r="B110" s="141"/>
      <c r="D110" s="142" t="s">
        <v>95</v>
      </c>
      <c r="E110" s="143"/>
      <c r="F110" s="144" t="s">
        <v>843</v>
      </c>
      <c r="H110" s="145">
        <f>((0.5*0.5)*0.75)*1</f>
        <v>0.1875</v>
      </c>
    </row>
    <row r="111" spans="2:11" s="11" customFormat="1">
      <c r="B111" s="141"/>
      <c r="D111" s="142" t="s">
        <v>95</v>
      </c>
      <c r="E111" s="143"/>
      <c r="F111" s="144" t="s">
        <v>844</v>
      </c>
      <c r="H111" s="145">
        <f>((1*1)*1.85)*1</f>
        <v>1.85</v>
      </c>
    </row>
    <row r="112" spans="2:11" s="12" customFormat="1">
      <c r="B112" s="146"/>
      <c r="D112" s="142" t="s">
        <v>95</v>
      </c>
      <c r="E112" s="147" t="s">
        <v>2</v>
      </c>
      <c r="F112" s="148" t="s">
        <v>96</v>
      </c>
      <c r="H112" s="149">
        <f>SUM(H106:H111)</f>
        <v>9.821299999999999</v>
      </c>
    </row>
    <row r="113" spans="2:11" s="1" customFormat="1" ht="22.5" customHeight="1">
      <c r="B113" s="39"/>
      <c r="C113" s="135">
        <f>C105+1</f>
        <v>7</v>
      </c>
      <c r="D113" s="135" t="s">
        <v>65</v>
      </c>
      <c r="E113" s="136" t="s">
        <v>586</v>
      </c>
      <c r="F113" s="137" t="s">
        <v>593</v>
      </c>
      <c r="G113" s="138" t="s">
        <v>94</v>
      </c>
      <c r="H113" s="139">
        <f>H120</f>
        <v>9.821299999999999</v>
      </c>
      <c r="I113" s="90"/>
      <c r="J113" s="140">
        <f>ROUND(I113*H113,2)</f>
        <v>0</v>
      </c>
      <c r="K113" s="137"/>
    </row>
    <row r="114" spans="2:11" s="11" customFormat="1">
      <c r="B114" s="141"/>
      <c r="D114" s="142" t="s">
        <v>95</v>
      </c>
      <c r="E114" s="143" t="s">
        <v>2</v>
      </c>
      <c r="F114" s="144" t="s">
        <v>839</v>
      </c>
      <c r="H114" s="145">
        <f>(0.84+0.6+0.93)*0.6*1.5</f>
        <v>2.133</v>
      </c>
    </row>
    <row r="115" spans="2:11" s="11" customFormat="1">
      <c r="B115" s="141"/>
      <c r="D115" s="142" t="s">
        <v>95</v>
      </c>
      <c r="E115" s="143"/>
      <c r="F115" s="144" t="s">
        <v>840</v>
      </c>
      <c r="H115" s="145">
        <f>(1.02+0.6+0.77)*0.6*1.2</f>
        <v>1.7207999999999999</v>
      </c>
    </row>
    <row r="116" spans="2:11" s="11" customFormat="1" ht="27">
      <c r="B116" s="141"/>
      <c r="D116" s="142" t="s">
        <v>95</v>
      </c>
      <c r="E116" s="143"/>
      <c r="F116" s="144" t="s">
        <v>841</v>
      </c>
      <c r="H116" s="145">
        <f>(0.67+2.62+0.5+4.02+0.5+0.41+0.83+0.67)*0.6*0.5</f>
        <v>3.0659999999999994</v>
      </c>
    </row>
    <row r="117" spans="2:11" s="11" customFormat="1">
      <c r="B117" s="141"/>
      <c r="D117" s="142" t="s">
        <v>95</v>
      </c>
      <c r="E117" s="143"/>
      <c r="F117" s="144" t="s">
        <v>842</v>
      </c>
      <c r="H117" s="145">
        <f>((0.6*0.6)*1.2)*2</f>
        <v>0.86399999999999999</v>
      </c>
    </row>
    <row r="118" spans="2:11" s="11" customFormat="1">
      <c r="B118" s="141"/>
      <c r="D118" s="142" t="s">
        <v>95</v>
      </c>
      <c r="E118" s="143"/>
      <c r="F118" s="144" t="s">
        <v>843</v>
      </c>
      <c r="H118" s="145">
        <f>((0.5*0.5)*0.75)*1</f>
        <v>0.1875</v>
      </c>
    </row>
    <row r="119" spans="2:11" s="11" customFormat="1">
      <c r="B119" s="141"/>
      <c r="D119" s="142" t="s">
        <v>95</v>
      </c>
      <c r="E119" s="143"/>
      <c r="F119" s="144" t="s">
        <v>844</v>
      </c>
      <c r="H119" s="145">
        <f>((1*1)*1.85)*1</f>
        <v>1.85</v>
      </c>
    </row>
    <row r="120" spans="2:11" s="12" customFormat="1">
      <c r="B120" s="146"/>
      <c r="D120" s="142" t="s">
        <v>95</v>
      </c>
      <c r="E120" s="147" t="s">
        <v>2</v>
      </c>
      <c r="F120" s="148" t="s">
        <v>96</v>
      </c>
      <c r="H120" s="149">
        <f>SUM(H114:H119)</f>
        <v>9.821299999999999</v>
      </c>
    </row>
    <row r="121" spans="2:11" s="1" customFormat="1" ht="22.5" customHeight="1">
      <c r="B121" s="39"/>
      <c r="C121" s="135">
        <f>C113+1</f>
        <v>8</v>
      </c>
      <c r="D121" s="135" t="s">
        <v>65</v>
      </c>
      <c r="E121" s="136" t="s">
        <v>587</v>
      </c>
      <c r="F121" s="137" t="s">
        <v>588</v>
      </c>
      <c r="G121" s="138" t="s">
        <v>94</v>
      </c>
      <c r="H121" s="139">
        <f>H128</f>
        <v>9.821299999999999</v>
      </c>
      <c r="I121" s="90"/>
      <c r="J121" s="140">
        <f>ROUND(I121*H121,2)</f>
        <v>0</v>
      </c>
      <c r="K121" s="137"/>
    </row>
    <row r="122" spans="2:11" s="11" customFormat="1">
      <c r="B122" s="141"/>
      <c r="D122" s="142" t="s">
        <v>95</v>
      </c>
      <c r="E122" s="143" t="s">
        <v>2</v>
      </c>
      <c r="F122" s="144" t="s">
        <v>839</v>
      </c>
      <c r="H122" s="145">
        <f>(0.84+0.6+0.93)*0.6*1.5</f>
        <v>2.133</v>
      </c>
    </row>
    <row r="123" spans="2:11" s="11" customFormat="1">
      <c r="B123" s="141"/>
      <c r="D123" s="142" t="s">
        <v>95</v>
      </c>
      <c r="E123" s="143"/>
      <c r="F123" s="144" t="s">
        <v>840</v>
      </c>
      <c r="H123" s="145">
        <f>(1.02+0.6+0.77)*0.6*1.2</f>
        <v>1.7207999999999999</v>
      </c>
    </row>
    <row r="124" spans="2:11" s="11" customFormat="1" ht="27">
      <c r="B124" s="141"/>
      <c r="D124" s="142" t="s">
        <v>95</v>
      </c>
      <c r="E124" s="143"/>
      <c r="F124" s="144" t="s">
        <v>841</v>
      </c>
      <c r="H124" s="145">
        <f>(0.67+2.62+0.5+4.02+0.5+0.41+0.83+0.67)*0.6*0.5</f>
        <v>3.0659999999999994</v>
      </c>
    </row>
    <row r="125" spans="2:11" s="11" customFormat="1">
      <c r="B125" s="141"/>
      <c r="D125" s="142" t="s">
        <v>95</v>
      </c>
      <c r="E125" s="143"/>
      <c r="F125" s="144" t="s">
        <v>842</v>
      </c>
      <c r="H125" s="145">
        <f>((0.6*0.6)*1.2)*2</f>
        <v>0.86399999999999999</v>
      </c>
    </row>
    <row r="126" spans="2:11" s="11" customFormat="1">
      <c r="B126" s="141"/>
      <c r="D126" s="142" t="s">
        <v>95</v>
      </c>
      <c r="E126" s="143"/>
      <c r="F126" s="144" t="s">
        <v>843</v>
      </c>
      <c r="H126" s="145">
        <f>((0.5*0.5)*0.75)*1</f>
        <v>0.1875</v>
      </c>
    </row>
    <row r="127" spans="2:11" s="11" customFormat="1">
      <c r="B127" s="141"/>
      <c r="D127" s="142" t="s">
        <v>95</v>
      </c>
      <c r="E127" s="143"/>
      <c r="F127" s="144" t="s">
        <v>844</v>
      </c>
      <c r="H127" s="145">
        <f>((1*1)*1.85)*1</f>
        <v>1.85</v>
      </c>
    </row>
    <row r="128" spans="2:11" s="12" customFormat="1">
      <c r="B128" s="146"/>
      <c r="D128" s="142" t="s">
        <v>95</v>
      </c>
      <c r="E128" s="147" t="s">
        <v>2</v>
      </c>
      <c r="F128" s="148" t="s">
        <v>96</v>
      </c>
      <c r="H128" s="149">
        <f>SUM(H122:H127)</f>
        <v>9.821299999999999</v>
      </c>
    </row>
    <row r="129" spans="2:11" s="1" customFormat="1" ht="22.5" customHeight="1">
      <c r="B129" s="39"/>
      <c r="C129" s="135">
        <f>C121+1</f>
        <v>9</v>
      </c>
      <c r="D129" s="135" t="s">
        <v>65</v>
      </c>
      <c r="E129" s="136" t="s">
        <v>589</v>
      </c>
      <c r="F129" s="137" t="s">
        <v>590</v>
      </c>
      <c r="G129" s="138" t="s">
        <v>94</v>
      </c>
      <c r="H129" s="139">
        <f>H136</f>
        <v>9.821299999999999</v>
      </c>
      <c r="I129" s="90"/>
      <c r="J129" s="140">
        <f>H129*I129</f>
        <v>0</v>
      </c>
      <c r="K129" s="137"/>
    </row>
    <row r="130" spans="2:11" s="11" customFormat="1">
      <c r="B130" s="141"/>
      <c r="D130" s="142" t="s">
        <v>95</v>
      </c>
      <c r="E130" s="143" t="s">
        <v>2</v>
      </c>
      <c r="F130" s="144" t="s">
        <v>839</v>
      </c>
      <c r="H130" s="145">
        <f>(0.84+0.6+0.93)*0.6*1.5</f>
        <v>2.133</v>
      </c>
    </row>
    <row r="131" spans="2:11" s="11" customFormat="1">
      <c r="B131" s="141"/>
      <c r="D131" s="142" t="s">
        <v>95</v>
      </c>
      <c r="E131" s="143"/>
      <c r="F131" s="144" t="s">
        <v>840</v>
      </c>
      <c r="H131" s="145">
        <f>(1.02+0.6+0.77)*0.6*1.2</f>
        <v>1.7207999999999999</v>
      </c>
    </row>
    <row r="132" spans="2:11" s="11" customFormat="1" ht="27">
      <c r="B132" s="141"/>
      <c r="D132" s="142" t="s">
        <v>95</v>
      </c>
      <c r="E132" s="143"/>
      <c r="F132" s="144" t="s">
        <v>841</v>
      </c>
      <c r="H132" s="145">
        <f>(0.67+2.62+0.5+4.02+0.5+0.41+0.83+0.67)*0.6*0.5</f>
        <v>3.0659999999999994</v>
      </c>
    </row>
    <row r="133" spans="2:11" s="11" customFormat="1">
      <c r="B133" s="141"/>
      <c r="D133" s="142" t="s">
        <v>95</v>
      </c>
      <c r="E133" s="143"/>
      <c r="F133" s="144" t="s">
        <v>842</v>
      </c>
      <c r="H133" s="145">
        <f>((0.6*0.6)*1.2)*2</f>
        <v>0.86399999999999999</v>
      </c>
    </row>
    <row r="134" spans="2:11" s="11" customFormat="1">
      <c r="B134" s="141"/>
      <c r="D134" s="142" t="s">
        <v>95</v>
      </c>
      <c r="E134" s="143"/>
      <c r="F134" s="144" t="s">
        <v>843</v>
      </c>
      <c r="H134" s="145">
        <f>((0.5*0.5)*0.75)*1</f>
        <v>0.1875</v>
      </c>
    </row>
    <row r="135" spans="2:11" s="11" customFormat="1">
      <c r="B135" s="141"/>
      <c r="D135" s="142" t="s">
        <v>95</v>
      </c>
      <c r="E135" s="143"/>
      <c r="F135" s="144" t="s">
        <v>844</v>
      </c>
      <c r="H135" s="145">
        <f>((1*1)*1.85)*1</f>
        <v>1.85</v>
      </c>
    </row>
    <row r="136" spans="2:11" s="12" customFormat="1">
      <c r="B136" s="146"/>
      <c r="D136" s="142" t="s">
        <v>95</v>
      </c>
      <c r="E136" s="147" t="s">
        <v>2</v>
      </c>
      <c r="F136" s="148" t="s">
        <v>96</v>
      </c>
      <c r="H136" s="149">
        <f>SUM(H130:H135)</f>
        <v>9.821299999999999</v>
      </c>
    </row>
    <row r="137" spans="2:11" s="1" customFormat="1" ht="22.5" customHeight="1">
      <c r="B137" s="39"/>
      <c r="C137" s="135">
        <f>C129+1</f>
        <v>10</v>
      </c>
      <c r="D137" s="135" t="s">
        <v>65</v>
      </c>
      <c r="E137" s="136" t="s">
        <v>591</v>
      </c>
      <c r="F137" s="137" t="s">
        <v>592</v>
      </c>
      <c r="G137" s="138" t="s">
        <v>101</v>
      </c>
      <c r="H137" s="139">
        <f>H148</f>
        <v>11.0141878</v>
      </c>
      <c r="I137" s="90"/>
      <c r="J137" s="140">
        <f>H137*I137</f>
        <v>0</v>
      </c>
      <c r="K137" s="137"/>
    </row>
    <row r="138" spans="2:11" s="11" customFormat="1">
      <c r="B138" s="141"/>
      <c r="D138" s="142" t="s">
        <v>95</v>
      </c>
      <c r="E138" s="143" t="s">
        <v>2</v>
      </c>
      <c r="F138" s="144" t="s">
        <v>846</v>
      </c>
      <c r="H138" s="145">
        <f>((0.84+0.6+0.93)*0.6*1.5)*1.87</f>
        <v>3.9887100000000002</v>
      </c>
    </row>
    <row r="139" spans="2:11" s="11" customFormat="1">
      <c r="B139" s="141"/>
      <c r="D139" s="142" t="s">
        <v>95</v>
      </c>
      <c r="E139" s="143"/>
      <c r="F139" s="144" t="s">
        <v>847</v>
      </c>
      <c r="H139" s="145">
        <f>((1.02+0.6+0.77)*0.6*1.2)*1.87</f>
        <v>3.2178960000000001</v>
      </c>
    </row>
    <row r="140" spans="2:11" s="11" customFormat="1" ht="27">
      <c r="B140" s="141"/>
      <c r="D140" s="142" t="s">
        <v>95</v>
      </c>
      <c r="E140" s="143"/>
      <c r="F140" s="144" t="s">
        <v>848</v>
      </c>
      <c r="H140" s="145">
        <f>((0.67+2.62+0.5+4.02+0.5+0.41+0.83+0.67)*0.6*0.5)*1.87</f>
        <v>5.7334199999999989</v>
      </c>
    </row>
    <row r="141" spans="2:11" s="11" customFormat="1">
      <c r="B141" s="141"/>
      <c r="D141" s="142" t="s">
        <v>95</v>
      </c>
      <c r="E141" s="143"/>
      <c r="F141" s="144" t="s">
        <v>849</v>
      </c>
      <c r="H141" s="145">
        <f>(((0.6*0.6)*1.2)*2)*1.87</f>
        <v>1.61568</v>
      </c>
    </row>
    <row r="142" spans="2:11" s="11" customFormat="1">
      <c r="B142" s="141"/>
      <c r="D142" s="142" t="s">
        <v>95</v>
      </c>
      <c r="E142" s="143"/>
      <c r="F142" s="144" t="s">
        <v>850</v>
      </c>
      <c r="H142" s="145">
        <f>(((0.5*0.5)*0.75)*1)*1.87</f>
        <v>0.35062500000000002</v>
      </c>
    </row>
    <row r="143" spans="2:11" s="11" customFormat="1">
      <c r="B143" s="141"/>
      <c r="D143" s="142" t="s">
        <v>95</v>
      </c>
      <c r="E143" s="143"/>
      <c r="F143" s="144" t="s">
        <v>851</v>
      </c>
      <c r="H143" s="145">
        <f>(((1*1)*1.85)*1)*1.87</f>
        <v>3.4595000000000002</v>
      </c>
    </row>
    <row r="144" spans="2:11" s="11" customFormat="1" ht="27">
      <c r="B144" s="141"/>
      <c r="D144" s="142" t="s">
        <v>95</v>
      </c>
      <c r="E144" s="143"/>
      <c r="F144" s="144" t="s">
        <v>852</v>
      </c>
      <c r="H144" s="145">
        <f>-((2.2*2.68)*0.1)*1.87</f>
        <v>-1.1025520000000002</v>
      </c>
    </row>
    <row r="145" spans="2:11" s="11" customFormat="1" ht="40.5">
      <c r="B145" s="141"/>
      <c r="D145" s="142" t="s">
        <v>95</v>
      </c>
      <c r="E145" s="143"/>
      <c r="F145" s="144" t="s">
        <v>854</v>
      </c>
      <c r="H145" s="145">
        <f>-((0.67+2.62+0.5+4.02+0.5+0.41+0.83+0.67)*0.6*0.1)*1.87</f>
        <v>-1.146684</v>
      </c>
    </row>
    <row r="146" spans="2:11" s="11" customFormat="1" ht="40.5">
      <c r="B146" s="141"/>
      <c r="D146" s="142" t="s">
        <v>95</v>
      </c>
      <c r="E146" s="143"/>
      <c r="F146" s="144" t="s">
        <v>854</v>
      </c>
      <c r="H146" s="145">
        <f>-((0.67+2.62+0.5+4.02+0.5+0.41+0.83+0.67)*0.6*0.1)*1.87</f>
        <v>-1.146684</v>
      </c>
    </row>
    <row r="147" spans="2:11" s="11" customFormat="1" ht="27">
      <c r="B147" s="141"/>
      <c r="D147" s="142" t="s">
        <v>95</v>
      </c>
      <c r="E147" s="143"/>
      <c r="F147" s="144" t="s">
        <v>859</v>
      </c>
      <c r="H147" s="145">
        <f>-(((2.62+0.5)*(4.02+0.5))*0.15)*1.87</f>
        <v>-3.9557232</v>
      </c>
    </row>
    <row r="148" spans="2:11" s="12" customFormat="1">
      <c r="B148" s="146"/>
      <c r="D148" s="142" t="s">
        <v>95</v>
      </c>
      <c r="E148" s="147" t="s">
        <v>2</v>
      </c>
      <c r="F148" s="148" t="s">
        <v>96</v>
      </c>
      <c r="H148" s="149">
        <f>SUM(H138:H147)</f>
        <v>11.0141878</v>
      </c>
    </row>
    <row r="149" spans="2:11" s="1" customFormat="1" ht="22.5" customHeight="1">
      <c r="B149" s="39"/>
      <c r="C149" s="135">
        <f>C137+1</f>
        <v>11</v>
      </c>
      <c r="D149" s="135" t="s">
        <v>65</v>
      </c>
      <c r="E149" s="136" t="s">
        <v>845</v>
      </c>
      <c r="F149" s="137" t="s">
        <v>857</v>
      </c>
      <c r="G149" s="138" t="s">
        <v>101</v>
      </c>
      <c r="H149" s="139">
        <f>H152</f>
        <v>2.7063000000000001</v>
      </c>
      <c r="I149" s="90"/>
      <c r="J149" s="140">
        <f>H149*I149</f>
        <v>0</v>
      </c>
      <c r="K149" s="137"/>
    </row>
    <row r="150" spans="2:11" s="11" customFormat="1" ht="27">
      <c r="B150" s="141"/>
      <c r="D150" s="142" t="s">
        <v>95</v>
      </c>
      <c r="E150" s="143" t="s">
        <v>2</v>
      </c>
      <c r="F150" s="144" t="s">
        <v>853</v>
      </c>
      <c r="H150" s="145">
        <f>((2.2*2.68)*0.1)*2.25</f>
        <v>1.3266000000000002</v>
      </c>
    </row>
    <row r="151" spans="2:11" s="11" customFormat="1" ht="27">
      <c r="B151" s="141"/>
      <c r="D151" s="142" t="s">
        <v>95</v>
      </c>
      <c r="E151" s="143"/>
      <c r="F151" s="144" t="s">
        <v>855</v>
      </c>
      <c r="H151" s="145">
        <f>((0.67+2.62+0.5+4.02+0.5+0.41+0.83+0.67)*0.6*0.1)*2.25</f>
        <v>1.3796999999999999</v>
      </c>
    </row>
    <row r="152" spans="2:11" s="12" customFormat="1">
      <c r="B152" s="146"/>
      <c r="D152" s="142" t="s">
        <v>95</v>
      </c>
      <c r="E152" s="147" t="s">
        <v>2</v>
      </c>
      <c r="F152" s="148" t="s">
        <v>96</v>
      </c>
      <c r="H152" s="149">
        <f>SUM(H150:H151)</f>
        <v>2.7063000000000001</v>
      </c>
    </row>
    <row r="153" spans="2:11" s="1" customFormat="1" ht="22.5" customHeight="1">
      <c r="B153" s="39"/>
      <c r="C153" s="135">
        <f>C149+1</f>
        <v>12</v>
      </c>
      <c r="D153" s="135" t="s">
        <v>65</v>
      </c>
      <c r="E153" s="136" t="s">
        <v>845</v>
      </c>
      <c r="F153" s="137" t="s">
        <v>856</v>
      </c>
      <c r="G153" s="138" t="s">
        <v>101</v>
      </c>
      <c r="H153" s="139">
        <f>H155</f>
        <v>4.5480239999999998</v>
      </c>
      <c r="I153" s="90"/>
      <c r="J153" s="140">
        <f>H153*I153</f>
        <v>0</v>
      </c>
      <c r="K153" s="137"/>
    </row>
    <row r="154" spans="2:11" s="11" customFormat="1">
      <c r="B154" s="141"/>
      <c r="D154" s="142" t="s">
        <v>95</v>
      </c>
      <c r="E154" s="143"/>
      <c r="F154" s="144" t="s">
        <v>858</v>
      </c>
      <c r="H154" s="145">
        <f>(((2.62+0.5)*(4.02+0.5))*0.15)*2.15</f>
        <v>4.5480239999999998</v>
      </c>
    </row>
    <row r="155" spans="2:11" s="12" customFormat="1">
      <c r="B155" s="146"/>
      <c r="D155" s="142" t="s">
        <v>95</v>
      </c>
      <c r="E155" s="147" t="s">
        <v>2</v>
      </c>
      <c r="F155" s="148" t="s">
        <v>96</v>
      </c>
      <c r="H155" s="149">
        <f>SUM(H154:H154)</f>
        <v>4.5480239999999998</v>
      </c>
    </row>
    <row r="156" spans="2:11" s="1" customFormat="1" ht="22.5" customHeight="1">
      <c r="B156" s="39"/>
      <c r="C156" s="135">
        <f>C153+1</f>
        <v>13</v>
      </c>
      <c r="D156" s="135" t="s">
        <v>65</v>
      </c>
      <c r="E156" s="136" t="s">
        <v>595</v>
      </c>
      <c r="F156" s="137" t="s">
        <v>895</v>
      </c>
      <c r="G156" s="138" t="s">
        <v>265</v>
      </c>
      <c r="H156" s="139">
        <f>H158</f>
        <v>1</v>
      </c>
      <c r="I156" s="90"/>
      <c r="J156" s="140">
        <f>H156*I156</f>
        <v>0</v>
      </c>
      <c r="K156" s="137"/>
    </row>
    <row r="157" spans="2:11" s="11" customFormat="1">
      <c r="B157" s="141"/>
      <c r="D157" s="142" t="s">
        <v>95</v>
      </c>
      <c r="E157" s="143" t="s">
        <v>2</v>
      </c>
      <c r="F157" s="144" t="s">
        <v>860</v>
      </c>
      <c r="H157" s="145">
        <f>1</f>
        <v>1</v>
      </c>
    </row>
    <row r="158" spans="2:11" s="12" customFormat="1">
      <c r="B158" s="146"/>
      <c r="D158" s="142" t="s">
        <v>95</v>
      </c>
      <c r="E158" s="147" t="s">
        <v>2</v>
      </c>
      <c r="F158" s="148" t="s">
        <v>96</v>
      </c>
      <c r="H158" s="149">
        <f>SUM(H157:H157)</f>
        <v>1</v>
      </c>
    </row>
    <row r="159" spans="2:11" s="1" customFormat="1" ht="22.5" customHeight="1">
      <c r="B159" s="39"/>
      <c r="C159" s="150">
        <f>C156+1</f>
        <v>14</v>
      </c>
      <c r="D159" s="150" t="s">
        <v>123</v>
      </c>
      <c r="E159" s="151" t="s">
        <v>594</v>
      </c>
      <c r="F159" s="152" t="s">
        <v>896</v>
      </c>
      <c r="G159" s="153" t="s">
        <v>265</v>
      </c>
      <c r="H159" s="154">
        <f>H161</f>
        <v>1</v>
      </c>
      <c r="I159" s="91"/>
      <c r="J159" s="155">
        <f>H159*I159</f>
        <v>0</v>
      </c>
      <c r="K159" s="152"/>
    </row>
    <row r="160" spans="2:11" s="11" customFormat="1">
      <c r="B160" s="141"/>
      <c r="D160" s="142" t="s">
        <v>95</v>
      </c>
      <c r="E160" s="143" t="s">
        <v>2</v>
      </c>
      <c r="F160" s="144" t="s">
        <v>897</v>
      </c>
      <c r="H160" s="145">
        <f>1</f>
        <v>1</v>
      </c>
    </row>
    <row r="161" spans="2:11" s="12" customFormat="1">
      <c r="B161" s="146"/>
      <c r="D161" s="142" t="s">
        <v>95</v>
      </c>
      <c r="E161" s="147" t="s">
        <v>2</v>
      </c>
      <c r="F161" s="148" t="s">
        <v>96</v>
      </c>
      <c r="H161" s="149">
        <f>SUM(H160:H160)</f>
        <v>1</v>
      </c>
    </row>
    <row r="162" spans="2:11" s="1" customFormat="1" ht="22.5" customHeight="1">
      <c r="B162" s="39"/>
      <c r="C162" s="135">
        <f>C159+1</f>
        <v>15</v>
      </c>
      <c r="D162" s="135" t="s">
        <v>65</v>
      </c>
      <c r="E162" s="136" t="s">
        <v>596</v>
      </c>
      <c r="F162" s="137" t="s">
        <v>597</v>
      </c>
      <c r="G162" s="138" t="s">
        <v>94</v>
      </c>
      <c r="H162" s="139">
        <f>H164</f>
        <v>1.7999999999999999E-2</v>
      </c>
      <c r="I162" s="90"/>
      <c r="J162" s="140">
        <f>H162*I162</f>
        <v>0</v>
      </c>
      <c r="K162" s="137"/>
    </row>
    <row r="163" spans="2:11" s="11" customFormat="1">
      <c r="B163" s="141"/>
      <c r="D163" s="142" t="s">
        <v>95</v>
      </c>
      <c r="E163" s="143" t="s">
        <v>2</v>
      </c>
      <c r="F163" s="144" t="s">
        <v>861</v>
      </c>
      <c r="H163" s="145">
        <f>(0.018)*1</f>
        <v>1.7999999999999999E-2</v>
      </c>
    </row>
    <row r="164" spans="2:11" s="12" customFormat="1">
      <c r="B164" s="146"/>
      <c r="D164" s="142" t="s">
        <v>95</v>
      </c>
      <c r="E164" s="147" t="s">
        <v>2</v>
      </c>
      <c r="F164" s="148" t="s">
        <v>96</v>
      </c>
      <c r="H164" s="149">
        <f>SUM(H163:H163)</f>
        <v>1.7999999999999999E-2</v>
      </c>
    </row>
    <row r="165" spans="2:11" s="1" customFormat="1" ht="22.5" customHeight="1">
      <c r="B165" s="39"/>
      <c r="C165" s="135">
        <f>C162+1</f>
        <v>16</v>
      </c>
      <c r="D165" s="135" t="s">
        <v>65</v>
      </c>
      <c r="E165" s="136" t="s">
        <v>598</v>
      </c>
      <c r="F165" s="137" t="s">
        <v>599</v>
      </c>
      <c r="G165" s="138" t="s">
        <v>265</v>
      </c>
      <c r="H165" s="139">
        <f>H167</f>
        <v>1</v>
      </c>
      <c r="I165" s="90"/>
      <c r="J165" s="140">
        <f>H165*I165</f>
        <v>0</v>
      </c>
      <c r="K165" s="137"/>
    </row>
    <row r="166" spans="2:11" s="11" customFormat="1">
      <c r="B166" s="141"/>
      <c r="D166" s="142" t="s">
        <v>95</v>
      </c>
      <c r="E166" s="143" t="s">
        <v>2</v>
      </c>
      <c r="F166" s="144" t="s">
        <v>862</v>
      </c>
      <c r="H166" s="145">
        <f>1</f>
        <v>1</v>
      </c>
    </row>
    <row r="167" spans="2:11" s="12" customFormat="1">
      <c r="B167" s="146"/>
      <c r="D167" s="142" t="s">
        <v>95</v>
      </c>
      <c r="E167" s="147" t="s">
        <v>2</v>
      </c>
      <c r="F167" s="148" t="s">
        <v>96</v>
      </c>
      <c r="H167" s="149">
        <f>SUM(H166:H166)</f>
        <v>1</v>
      </c>
    </row>
    <row r="168" spans="2:11" s="1" customFormat="1" ht="22.5" customHeight="1">
      <c r="B168" s="39"/>
      <c r="C168" s="135">
        <f>C165+1</f>
        <v>17</v>
      </c>
      <c r="D168" s="135" t="s">
        <v>65</v>
      </c>
      <c r="E168" s="136" t="s">
        <v>863</v>
      </c>
      <c r="F168" s="137" t="s">
        <v>864</v>
      </c>
      <c r="G168" s="138" t="s">
        <v>155</v>
      </c>
      <c r="H168" s="139">
        <f>H170</f>
        <v>1.5</v>
      </c>
      <c r="I168" s="90"/>
      <c r="J168" s="140">
        <f>H168*I168</f>
        <v>0</v>
      </c>
      <c r="K168" s="137"/>
    </row>
    <row r="169" spans="2:11" s="11" customFormat="1">
      <c r="B169" s="141"/>
      <c r="D169" s="142" t="s">
        <v>95</v>
      </c>
      <c r="E169" s="143" t="s">
        <v>2</v>
      </c>
      <c r="F169" s="144" t="s">
        <v>865</v>
      </c>
      <c r="H169" s="145">
        <f>(1+0.5)</f>
        <v>1.5</v>
      </c>
    </row>
    <row r="170" spans="2:11" s="12" customFormat="1">
      <c r="B170" s="146"/>
      <c r="D170" s="142" t="s">
        <v>95</v>
      </c>
      <c r="E170" s="147" t="s">
        <v>2</v>
      </c>
      <c r="F170" s="148" t="s">
        <v>96</v>
      </c>
      <c r="H170" s="149">
        <f>SUM(H169:H169)</f>
        <v>1.5</v>
      </c>
    </row>
    <row r="171" spans="2:11" s="1" customFormat="1" ht="22.5" customHeight="1">
      <c r="B171" s="39"/>
      <c r="C171" s="135">
        <f>C168+1</f>
        <v>18</v>
      </c>
      <c r="D171" s="135" t="s">
        <v>65</v>
      </c>
      <c r="E171" s="136" t="s">
        <v>600</v>
      </c>
      <c r="F171" s="137" t="s">
        <v>601</v>
      </c>
      <c r="G171" s="138" t="s">
        <v>155</v>
      </c>
      <c r="H171" s="139">
        <f>H173</f>
        <v>2.37</v>
      </c>
      <c r="I171" s="90"/>
      <c r="J171" s="140">
        <f>H171*I171</f>
        <v>0</v>
      </c>
      <c r="K171" s="137"/>
    </row>
    <row r="172" spans="2:11" s="11" customFormat="1">
      <c r="B172" s="141"/>
      <c r="D172" s="142" t="s">
        <v>95</v>
      </c>
      <c r="E172" s="143" t="s">
        <v>2</v>
      </c>
      <c r="F172" s="144" t="s">
        <v>866</v>
      </c>
      <c r="H172" s="145">
        <f>(0.84+0.6+0.93)</f>
        <v>2.37</v>
      </c>
    </row>
    <row r="173" spans="2:11" s="12" customFormat="1">
      <c r="B173" s="146"/>
      <c r="D173" s="142" t="s">
        <v>95</v>
      </c>
      <c r="E173" s="147" t="s">
        <v>2</v>
      </c>
      <c r="F173" s="148" t="s">
        <v>96</v>
      </c>
      <c r="H173" s="149">
        <f>SUM(H172:H172)</f>
        <v>2.37</v>
      </c>
    </row>
    <row r="174" spans="2:11" s="1" customFormat="1" ht="22.5" customHeight="1">
      <c r="B174" s="39"/>
      <c r="C174" s="135">
        <f>C171+1</f>
        <v>19</v>
      </c>
      <c r="D174" s="135" t="s">
        <v>65</v>
      </c>
      <c r="E174" s="136" t="s">
        <v>604</v>
      </c>
      <c r="F174" s="137" t="s">
        <v>881</v>
      </c>
      <c r="G174" s="138" t="s">
        <v>265</v>
      </c>
      <c r="H174" s="139">
        <f>H176</f>
        <v>2</v>
      </c>
      <c r="I174" s="90"/>
      <c r="J174" s="140">
        <f>H174*I174</f>
        <v>0</v>
      </c>
      <c r="K174" s="137"/>
    </row>
    <row r="175" spans="2:11" s="11" customFormat="1">
      <c r="B175" s="141"/>
      <c r="D175" s="142" t="s">
        <v>95</v>
      </c>
      <c r="E175" s="143" t="s">
        <v>2</v>
      </c>
      <c r="F175" s="144" t="s">
        <v>882</v>
      </c>
      <c r="H175" s="145">
        <f>2</f>
        <v>2</v>
      </c>
    </row>
    <row r="176" spans="2:11" s="12" customFormat="1">
      <c r="B176" s="146"/>
      <c r="D176" s="142" t="s">
        <v>95</v>
      </c>
      <c r="E176" s="147" t="s">
        <v>2</v>
      </c>
      <c r="F176" s="148" t="s">
        <v>96</v>
      </c>
      <c r="H176" s="149">
        <f>SUM(H175:H175)</f>
        <v>2</v>
      </c>
    </row>
    <row r="177" spans="2:11" s="1" customFormat="1" ht="22.5" customHeight="1">
      <c r="B177" s="39"/>
      <c r="C177" s="135">
        <f>C171+1</f>
        <v>19</v>
      </c>
      <c r="D177" s="135" t="s">
        <v>65</v>
      </c>
      <c r="E177" s="136" t="s">
        <v>874</v>
      </c>
      <c r="F177" s="137" t="s">
        <v>883</v>
      </c>
      <c r="G177" s="138" t="s">
        <v>155</v>
      </c>
      <c r="H177" s="139">
        <f>H179</f>
        <v>2.39</v>
      </c>
      <c r="I177" s="90"/>
      <c r="J177" s="140">
        <f>H177*I177</f>
        <v>0</v>
      </c>
      <c r="K177" s="137"/>
    </row>
    <row r="178" spans="2:11" s="11" customFormat="1">
      <c r="B178" s="141"/>
      <c r="D178" s="142" t="s">
        <v>95</v>
      </c>
      <c r="E178" s="143" t="s">
        <v>2</v>
      </c>
      <c r="F178" s="144" t="s">
        <v>875</v>
      </c>
      <c r="H178" s="145">
        <f>(1.02+0.6+0.77)</f>
        <v>2.39</v>
      </c>
    </row>
    <row r="179" spans="2:11" s="12" customFormat="1">
      <c r="B179" s="146"/>
      <c r="D179" s="142" t="s">
        <v>95</v>
      </c>
      <c r="E179" s="147" t="s">
        <v>2</v>
      </c>
      <c r="F179" s="148" t="s">
        <v>96</v>
      </c>
      <c r="H179" s="149">
        <f>SUM(H178:H178)</f>
        <v>2.39</v>
      </c>
    </row>
    <row r="180" spans="2:11" s="1" customFormat="1" ht="22.15" customHeight="1">
      <c r="B180" s="39"/>
      <c r="C180" s="135">
        <f>C177+1</f>
        <v>20</v>
      </c>
      <c r="D180" s="135" t="s">
        <v>65</v>
      </c>
      <c r="E180" s="136" t="s">
        <v>661</v>
      </c>
      <c r="F180" s="137" t="s">
        <v>884</v>
      </c>
      <c r="G180" s="138" t="s">
        <v>265</v>
      </c>
      <c r="H180" s="139">
        <f>H182</f>
        <v>2</v>
      </c>
      <c r="I180" s="90"/>
      <c r="J180" s="140">
        <f>H180*I180</f>
        <v>0</v>
      </c>
      <c r="K180" s="137"/>
    </row>
    <row r="181" spans="2:11" s="11" customFormat="1">
      <c r="B181" s="141"/>
      <c r="D181" s="142" t="s">
        <v>95</v>
      </c>
      <c r="E181" s="143"/>
      <c r="F181" s="144" t="s">
        <v>885</v>
      </c>
      <c r="H181" s="145">
        <f>2</f>
        <v>2</v>
      </c>
    </row>
    <row r="182" spans="2:11" s="12" customFormat="1">
      <c r="B182" s="146"/>
      <c r="D182" s="142" t="s">
        <v>95</v>
      </c>
      <c r="E182" s="147" t="s">
        <v>2</v>
      </c>
      <c r="F182" s="148" t="s">
        <v>96</v>
      </c>
      <c r="H182" s="149">
        <f>SUM(H181:H181)</f>
        <v>2</v>
      </c>
    </row>
    <row r="183" spans="2:11" s="1" customFormat="1" ht="22.5" customHeight="1">
      <c r="B183" s="39"/>
      <c r="C183" s="150">
        <f>C177+1</f>
        <v>20</v>
      </c>
      <c r="D183" s="150" t="s">
        <v>123</v>
      </c>
      <c r="E183" s="151" t="s">
        <v>867</v>
      </c>
      <c r="F183" s="152" t="s">
        <v>869</v>
      </c>
      <c r="G183" s="153" t="s">
        <v>155</v>
      </c>
      <c r="H183" s="154">
        <f>H185</f>
        <v>1.5</v>
      </c>
      <c r="I183" s="91"/>
      <c r="J183" s="155">
        <f>H183*I183</f>
        <v>0</v>
      </c>
      <c r="K183" s="152"/>
    </row>
    <row r="184" spans="2:11" s="11" customFormat="1">
      <c r="B184" s="141"/>
      <c r="D184" s="142" t="s">
        <v>95</v>
      </c>
      <c r="E184" s="143" t="s">
        <v>2</v>
      </c>
      <c r="F184" s="144" t="s">
        <v>865</v>
      </c>
      <c r="H184" s="145">
        <f>(1+0.5)</f>
        <v>1.5</v>
      </c>
    </row>
    <row r="185" spans="2:11" s="12" customFormat="1">
      <c r="B185" s="146"/>
      <c r="D185" s="142" t="s">
        <v>95</v>
      </c>
      <c r="E185" s="147" t="s">
        <v>2</v>
      </c>
      <c r="F185" s="148" t="s">
        <v>96</v>
      </c>
      <c r="H185" s="149">
        <f>SUM(H184:H184)</f>
        <v>1.5</v>
      </c>
    </row>
    <row r="186" spans="2:11" s="1" customFormat="1" ht="22.5" customHeight="1">
      <c r="B186" s="39"/>
      <c r="C186" s="150">
        <f>C183+1</f>
        <v>21</v>
      </c>
      <c r="D186" s="150" t="s">
        <v>123</v>
      </c>
      <c r="E186" s="151" t="s">
        <v>603</v>
      </c>
      <c r="F186" s="152" t="s">
        <v>870</v>
      </c>
      <c r="G186" s="153" t="s">
        <v>155</v>
      </c>
      <c r="H186" s="154">
        <f>H188</f>
        <v>3</v>
      </c>
      <c r="I186" s="91"/>
      <c r="J186" s="155">
        <f>H186*I186</f>
        <v>0</v>
      </c>
      <c r="K186" s="152"/>
    </row>
    <row r="187" spans="2:11" s="11" customFormat="1">
      <c r="B187" s="141"/>
      <c r="D187" s="142" t="s">
        <v>95</v>
      </c>
      <c r="E187" s="143" t="s">
        <v>2</v>
      </c>
      <c r="F187" s="144" t="s">
        <v>873</v>
      </c>
      <c r="H187" s="145">
        <f>(1+1+1)</f>
        <v>3</v>
      </c>
    </row>
    <row r="188" spans="2:11" s="12" customFormat="1">
      <c r="B188" s="146"/>
      <c r="D188" s="142" t="s">
        <v>95</v>
      </c>
      <c r="E188" s="147" t="s">
        <v>2</v>
      </c>
      <c r="F188" s="148" t="s">
        <v>96</v>
      </c>
      <c r="H188" s="149">
        <f>SUM(H187:H187)</f>
        <v>3</v>
      </c>
    </row>
    <row r="189" spans="2:11" s="1" customFormat="1" ht="22.5" customHeight="1">
      <c r="B189" s="39"/>
      <c r="C189" s="150">
        <f>C186+1</f>
        <v>22</v>
      </c>
      <c r="D189" s="150" t="s">
        <v>123</v>
      </c>
      <c r="E189" s="151" t="s">
        <v>602</v>
      </c>
      <c r="F189" s="152" t="s">
        <v>868</v>
      </c>
      <c r="G189" s="153" t="s">
        <v>265</v>
      </c>
      <c r="H189" s="154">
        <f>H191</f>
        <v>1</v>
      </c>
      <c r="I189" s="91"/>
      <c r="J189" s="155">
        <f>H189*I189</f>
        <v>0</v>
      </c>
      <c r="K189" s="152"/>
    </row>
    <row r="190" spans="2:11" s="11" customFormat="1">
      <c r="B190" s="141"/>
      <c r="D190" s="142" t="s">
        <v>95</v>
      </c>
      <c r="E190" s="143" t="s">
        <v>2</v>
      </c>
      <c r="F190" s="144" t="s">
        <v>872</v>
      </c>
      <c r="H190" s="145">
        <f>1</f>
        <v>1</v>
      </c>
    </row>
    <row r="191" spans="2:11" s="12" customFormat="1">
      <c r="B191" s="146"/>
      <c r="D191" s="142" t="s">
        <v>95</v>
      </c>
      <c r="E191" s="147" t="s">
        <v>2</v>
      </c>
      <c r="F191" s="148" t="s">
        <v>96</v>
      </c>
      <c r="H191" s="149">
        <f>SUM(H190:H190)</f>
        <v>1</v>
      </c>
    </row>
    <row r="192" spans="2:11" s="1" customFormat="1" ht="22.5" customHeight="1">
      <c r="B192" s="39"/>
      <c r="C192" s="150">
        <f>C189+1</f>
        <v>23</v>
      </c>
      <c r="D192" s="150" t="s">
        <v>123</v>
      </c>
      <c r="E192" s="151" t="s">
        <v>602</v>
      </c>
      <c r="F192" s="152" t="s">
        <v>871</v>
      </c>
      <c r="G192" s="153" t="s">
        <v>265</v>
      </c>
      <c r="H192" s="154">
        <f>H194</f>
        <v>1</v>
      </c>
      <c r="I192" s="91"/>
      <c r="J192" s="155">
        <f>H192*I192</f>
        <v>0</v>
      </c>
      <c r="K192" s="152"/>
    </row>
    <row r="193" spans="2:11" s="11" customFormat="1">
      <c r="B193" s="141"/>
      <c r="D193" s="142" t="s">
        <v>95</v>
      </c>
      <c r="E193" s="143" t="s">
        <v>2</v>
      </c>
      <c r="F193" s="144" t="s">
        <v>872</v>
      </c>
      <c r="H193" s="145">
        <f>1</f>
        <v>1</v>
      </c>
    </row>
    <row r="194" spans="2:11" s="12" customFormat="1">
      <c r="B194" s="146"/>
      <c r="D194" s="142" t="s">
        <v>95</v>
      </c>
      <c r="E194" s="147" t="s">
        <v>2</v>
      </c>
      <c r="F194" s="148" t="s">
        <v>96</v>
      </c>
      <c r="H194" s="149">
        <f>SUM(H193:H193)</f>
        <v>1</v>
      </c>
    </row>
    <row r="195" spans="2:11" s="1" customFormat="1" ht="22.5" customHeight="1">
      <c r="B195" s="39"/>
      <c r="C195" s="150">
        <f>C192+1</f>
        <v>24</v>
      </c>
      <c r="D195" s="150" t="s">
        <v>123</v>
      </c>
      <c r="E195" s="151" t="s">
        <v>867</v>
      </c>
      <c r="F195" s="152" t="s">
        <v>877</v>
      </c>
      <c r="G195" s="153" t="s">
        <v>155</v>
      </c>
      <c r="H195" s="154">
        <f>H197</f>
        <v>2.39</v>
      </c>
      <c r="I195" s="91"/>
      <c r="J195" s="155">
        <f>H195*I195</f>
        <v>0</v>
      </c>
      <c r="K195" s="152"/>
    </row>
    <row r="196" spans="2:11" s="11" customFormat="1">
      <c r="B196" s="141"/>
      <c r="D196" s="142" t="s">
        <v>95</v>
      </c>
      <c r="E196" s="143" t="s">
        <v>2</v>
      </c>
      <c r="F196" s="144" t="s">
        <v>876</v>
      </c>
      <c r="H196" s="145">
        <f>(1.02+0.6+0.77)</f>
        <v>2.39</v>
      </c>
    </row>
    <row r="197" spans="2:11" s="12" customFormat="1">
      <c r="B197" s="146"/>
      <c r="D197" s="142" t="s">
        <v>95</v>
      </c>
      <c r="E197" s="147" t="s">
        <v>2</v>
      </c>
      <c r="F197" s="148" t="s">
        <v>96</v>
      </c>
      <c r="H197" s="149">
        <f>SUM(H196:H196)</f>
        <v>2.39</v>
      </c>
    </row>
    <row r="198" spans="2:11" s="1" customFormat="1" ht="22.5" customHeight="1">
      <c r="B198" s="39"/>
      <c r="C198" s="150">
        <f>C195+1</f>
        <v>25</v>
      </c>
      <c r="D198" s="150" t="s">
        <v>123</v>
      </c>
      <c r="E198" s="151" t="s">
        <v>878</v>
      </c>
      <c r="F198" s="152" t="s">
        <v>879</v>
      </c>
      <c r="G198" s="153" t="s">
        <v>265</v>
      </c>
      <c r="H198" s="154">
        <f>H200</f>
        <v>1</v>
      </c>
      <c r="I198" s="91"/>
      <c r="J198" s="155">
        <f>H198*I198</f>
        <v>0</v>
      </c>
      <c r="K198" s="152"/>
    </row>
    <row r="199" spans="2:11" s="11" customFormat="1">
      <c r="B199" s="141"/>
      <c r="D199" s="142" t="s">
        <v>95</v>
      </c>
      <c r="E199" s="143" t="s">
        <v>2</v>
      </c>
      <c r="F199" s="144" t="s">
        <v>880</v>
      </c>
      <c r="H199" s="145">
        <f>1</f>
        <v>1</v>
      </c>
    </row>
    <row r="200" spans="2:11" s="12" customFormat="1">
      <c r="B200" s="146"/>
      <c r="D200" s="142" t="s">
        <v>95</v>
      </c>
      <c r="E200" s="147" t="s">
        <v>2</v>
      </c>
      <c r="F200" s="148" t="s">
        <v>96</v>
      </c>
      <c r="H200" s="149">
        <f>SUM(H199:H199)</f>
        <v>1</v>
      </c>
    </row>
    <row r="201" spans="2:11" s="1" customFormat="1" ht="22.5" customHeight="1">
      <c r="B201" s="39"/>
      <c r="C201" s="150">
        <f>C198+1</f>
        <v>26</v>
      </c>
      <c r="D201" s="150" t="s">
        <v>123</v>
      </c>
      <c r="E201" s="151" t="s">
        <v>886</v>
      </c>
      <c r="F201" s="152" t="s">
        <v>887</v>
      </c>
      <c r="G201" s="153" t="s">
        <v>265</v>
      </c>
      <c r="H201" s="154">
        <f>H203</f>
        <v>1</v>
      </c>
      <c r="I201" s="91"/>
      <c r="J201" s="155">
        <f>H201*I201</f>
        <v>0</v>
      </c>
      <c r="K201" s="152"/>
    </row>
    <row r="202" spans="2:11" s="11" customFormat="1">
      <c r="B202" s="141"/>
      <c r="D202" s="142" t="s">
        <v>95</v>
      </c>
      <c r="E202" s="143" t="s">
        <v>2</v>
      </c>
      <c r="F202" s="144" t="s">
        <v>880</v>
      </c>
      <c r="H202" s="145">
        <f>1</f>
        <v>1</v>
      </c>
    </row>
    <row r="203" spans="2:11" s="12" customFormat="1">
      <c r="B203" s="146"/>
      <c r="D203" s="142" t="s">
        <v>95</v>
      </c>
      <c r="E203" s="147" t="s">
        <v>2</v>
      </c>
      <c r="F203" s="148" t="s">
        <v>96</v>
      </c>
      <c r="H203" s="149">
        <f>SUM(H202:H202)</f>
        <v>1</v>
      </c>
    </row>
    <row r="204" spans="2:11" s="1" customFormat="1" ht="22.5" customHeight="1">
      <c r="B204" s="39"/>
      <c r="C204" s="135">
        <f>C201+1</f>
        <v>27</v>
      </c>
      <c r="D204" s="135" t="s">
        <v>65</v>
      </c>
      <c r="E204" s="136" t="s">
        <v>646</v>
      </c>
      <c r="F204" s="137" t="s">
        <v>888</v>
      </c>
      <c r="G204" s="138" t="s">
        <v>265</v>
      </c>
      <c r="H204" s="139">
        <f>H206</f>
        <v>1</v>
      </c>
      <c r="I204" s="90"/>
      <c r="J204" s="140">
        <f>H204*I204</f>
        <v>0</v>
      </c>
      <c r="K204" s="137"/>
    </row>
    <row r="205" spans="2:11" s="11" customFormat="1">
      <c r="B205" s="141"/>
      <c r="D205" s="142" t="s">
        <v>95</v>
      </c>
      <c r="E205" s="143" t="s">
        <v>2</v>
      </c>
      <c r="F205" s="144" t="s">
        <v>889</v>
      </c>
      <c r="H205" s="145">
        <f>1</f>
        <v>1</v>
      </c>
    </row>
    <row r="206" spans="2:11" s="12" customFormat="1">
      <c r="B206" s="146"/>
      <c r="D206" s="142" t="s">
        <v>95</v>
      </c>
      <c r="E206" s="147" t="s">
        <v>2</v>
      </c>
      <c r="F206" s="148" t="s">
        <v>96</v>
      </c>
      <c r="H206" s="149">
        <f>SUM(H205:H205)</f>
        <v>1</v>
      </c>
    </row>
    <row r="207" spans="2:11" s="163" customFormat="1" ht="22.9" customHeight="1">
      <c r="B207" s="254"/>
      <c r="C207" s="135">
        <f>C204+1</f>
        <v>28</v>
      </c>
      <c r="D207" s="135" t="s">
        <v>65</v>
      </c>
      <c r="E207" s="136" t="s">
        <v>596</v>
      </c>
      <c r="F207" s="255" t="s">
        <v>561</v>
      </c>
      <c r="G207" s="256" t="s">
        <v>94</v>
      </c>
      <c r="H207" s="257">
        <f>H209</f>
        <v>0.30771999999999999</v>
      </c>
      <c r="I207" s="90"/>
      <c r="J207" s="140">
        <f t="shared" ref="J207" si="0">ROUND(I207*H207,2)</f>
        <v>0</v>
      </c>
      <c r="K207" s="137"/>
    </row>
    <row r="208" spans="2:11" s="11" customFormat="1">
      <c r="B208" s="141"/>
      <c r="D208" s="142" t="s">
        <v>95</v>
      </c>
      <c r="E208" s="143" t="s">
        <v>2</v>
      </c>
      <c r="F208" s="144" t="s">
        <v>891</v>
      </c>
      <c r="H208" s="145">
        <f>3.14*0.7*0.7*0.2</f>
        <v>0.30771999999999999</v>
      </c>
    </row>
    <row r="209" spans="2:11" s="12" customFormat="1">
      <c r="B209" s="146"/>
      <c r="D209" s="142" t="s">
        <v>95</v>
      </c>
      <c r="E209" s="147" t="s">
        <v>2</v>
      </c>
      <c r="F209" s="148" t="s">
        <v>96</v>
      </c>
      <c r="H209" s="149">
        <f>SUM(H208:H208)</f>
        <v>0.30771999999999999</v>
      </c>
    </row>
    <row r="210" spans="2:11" s="163" customFormat="1" ht="22.9" customHeight="1">
      <c r="B210" s="254"/>
      <c r="C210" s="135">
        <f>C207+1</f>
        <v>29</v>
      </c>
      <c r="D210" s="258" t="s">
        <v>65</v>
      </c>
      <c r="E210" s="259" t="s">
        <v>583</v>
      </c>
      <c r="F210" s="255" t="s">
        <v>890</v>
      </c>
      <c r="G210" s="256" t="s">
        <v>94</v>
      </c>
      <c r="H210" s="257">
        <f>H212</f>
        <v>1.3188</v>
      </c>
      <c r="I210" s="90"/>
      <c r="J210" s="140">
        <f t="shared" ref="J210" si="1">ROUND(I210*H210,2)</f>
        <v>0</v>
      </c>
      <c r="K210" s="137"/>
    </row>
    <row r="211" spans="2:11" s="11" customFormat="1">
      <c r="B211" s="141"/>
      <c r="D211" s="142" t="s">
        <v>95</v>
      </c>
      <c r="E211" s="143" t="s">
        <v>2</v>
      </c>
      <c r="F211" s="144" t="s">
        <v>892</v>
      </c>
      <c r="H211" s="145">
        <f>(3.14*1.4*0.3)</f>
        <v>1.3188</v>
      </c>
    </row>
    <row r="212" spans="2:11" s="12" customFormat="1">
      <c r="B212" s="146"/>
      <c r="D212" s="142" t="s">
        <v>95</v>
      </c>
      <c r="E212" s="147" t="s">
        <v>2</v>
      </c>
      <c r="F212" s="148" t="s">
        <v>96</v>
      </c>
      <c r="H212" s="149">
        <f>SUM(H211:H211)</f>
        <v>1.3188</v>
      </c>
    </row>
    <row r="213" spans="2:11" s="1" customFormat="1" ht="22.5" customHeight="1">
      <c r="B213" s="39"/>
      <c r="C213" s="135">
        <f>C210+1</f>
        <v>30</v>
      </c>
      <c r="D213" s="135" t="s">
        <v>65</v>
      </c>
      <c r="E213" s="136" t="s">
        <v>605</v>
      </c>
      <c r="F213" s="137" t="s">
        <v>606</v>
      </c>
      <c r="G213" s="138" t="s">
        <v>265</v>
      </c>
      <c r="H213" s="139">
        <f>H215</f>
        <v>2</v>
      </c>
      <c r="I213" s="90"/>
      <c r="J213" s="140">
        <f>H213*I213</f>
        <v>0</v>
      </c>
      <c r="K213" s="137"/>
    </row>
    <row r="214" spans="2:11" s="11" customFormat="1">
      <c r="B214" s="141"/>
      <c r="D214" s="142" t="s">
        <v>95</v>
      </c>
      <c r="E214" s="143" t="s">
        <v>2</v>
      </c>
      <c r="F214" s="144" t="s">
        <v>893</v>
      </c>
      <c r="H214" s="145">
        <f>2</f>
        <v>2</v>
      </c>
    </row>
    <row r="215" spans="2:11" s="12" customFormat="1">
      <c r="B215" s="146"/>
      <c r="D215" s="142" t="s">
        <v>95</v>
      </c>
      <c r="E215" s="147" t="s">
        <v>2</v>
      </c>
      <c r="F215" s="148" t="s">
        <v>96</v>
      </c>
      <c r="H215" s="149">
        <f>SUM(H214:H214)</f>
        <v>2</v>
      </c>
    </row>
    <row r="216" spans="2:11" s="1" customFormat="1" ht="22.5" customHeight="1">
      <c r="B216" s="39"/>
      <c r="C216" s="135">
        <f>C213+1</f>
        <v>31</v>
      </c>
      <c r="D216" s="135" t="s">
        <v>65</v>
      </c>
      <c r="E216" s="136" t="s">
        <v>608</v>
      </c>
      <c r="F216" s="137" t="s">
        <v>607</v>
      </c>
      <c r="G216" s="138" t="s">
        <v>265</v>
      </c>
      <c r="H216" s="139">
        <f>H218</f>
        <v>2</v>
      </c>
      <c r="I216" s="90"/>
      <c r="J216" s="140">
        <f>H216*I216</f>
        <v>0</v>
      </c>
      <c r="K216" s="137"/>
    </row>
    <row r="217" spans="2:11" s="11" customFormat="1">
      <c r="B217" s="141"/>
      <c r="D217" s="142" t="s">
        <v>95</v>
      </c>
      <c r="E217" s="143" t="s">
        <v>2</v>
      </c>
      <c r="F217" s="144" t="s">
        <v>893</v>
      </c>
      <c r="H217" s="145">
        <f>2</f>
        <v>2</v>
      </c>
    </row>
    <row r="218" spans="2:11" s="12" customFormat="1">
      <c r="B218" s="146"/>
      <c r="D218" s="142" t="s">
        <v>95</v>
      </c>
      <c r="E218" s="147" t="s">
        <v>2</v>
      </c>
      <c r="F218" s="148" t="s">
        <v>96</v>
      </c>
      <c r="H218" s="149">
        <f>SUM(H217:H217)</f>
        <v>2</v>
      </c>
    </row>
    <row r="219" spans="2:11" s="1" customFormat="1" ht="22.5" customHeight="1">
      <c r="B219" s="39"/>
      <c r="C219" s="135">
        <f>C216+1</f>
        <v>32</v>
      </c>
      <c r="D219" s="135" t="s">
        <v>65</v>
      </c>
      <c r="E219" s="136" t="s">
        <v>608</v>
      </c>
      <c r="F219" s="137" t="s">
        <v>610</v>
      </c>
      <c r="G219" s="138" t="s">
        <v>155</v>
      </c>
      <c r="H219" s="139">
        <f>H221</f>
        <v>4.76</v>
      </c>
      <c r="I219" s="90"/>
      <c r="J219" s="140">
        <f>H219*I219</f>
        <v>0</v>
      </c>
      <c r="K219" s="137"/>
    </row>
    <row r="220" spans="2:11" s="11" customFormat="1">
      <c r="B220" s="141"/>
      <c r="D220" s="142" t="s">
        <v>95</v>
      </c>
      <c r="E220" s="143" t="s">
        <v>2</v>
      </c>
      <c r="F220" s="144" t="s">
        <v>894</v>
      </c>
      <c r="H220" s="145">
        <f>(0.84+0.6+0.93)+(1.02+0.6+0.77)</f>
        <v>4.76</v>
      </c>
    </row>
    <row r="221" spans="2:11" s="12" customFormat="1">
      <c r="B221" s="146"/>
      <c r="D221" s="142" t="s">
        <v>95</v>
      </c>
      <c r="E221" s="147" t="s">
        <v>2</v>
      </c>
      <c r="F221" s="148" t="s">
        <v>96</v>
      </c>
      <c r="H221" s="149">
        <f>SUM(H220:H220)</f>
        <v>4.76</v>
      </c>
    </row>
    <row r="222" spans="2:11" s="1" customFormat="1" ht="22.5" customHeight="1">
      <c r="B222" s="39"/>
      <c r="C222" s="135">
        <f>C219+1</f>
        <v>33</v>
      </c>
      <c r="D222" s="135" t="s">
        <v>65</v>
      </c>
      <c r="E222" s="136" t="s">
        <v>609</v>
      </c>
      <c r="F222" s="137" t="s">
        <v>205</v>
      </c>
      <c r="G222" s="138" t="s">
        <v>261</v>
      </c>
      <c r="H222" s="167"/>
      <c r="I222" s="140">
        <f>SUM(J156:J221)</f>
        <v>0</v>
      </c>
      <c r="J222" s="140">
        <f>H222%*I222</f>
        <v>0</v>
      </c>
      <c r="K222" s="137"/>
    </row>
    <row r="223" spans="2:11" s="11" customFormat="1">
      <c r="B223" s="141"/>
      <c r="D223" s="142" t="s">
        <v>95</v>
      </c>
      <c r="E223" s="143" t="s">
        <v>2</v>
      </c>
      <c r="F223" s="156" t="s">
        <v>898</v>
      </c>
      <c r="H223" s="145"/>
    </row>
    <row r="224" spans="2:11" s="1" customFormat="1" ht="6.95" customHeight="1">
      <c r="B224" s="51"/>
      <c r="C224" s="52"/>
      <c r="D224" s="52"/>
      <c r="E224" s="52"/>
      <c r="F224" s="52"/>
      <c r="G224" s="52"/>
      <c r="H224" s="52"/>
      <c r="I224" s="52"/>
      <c r="J224" s="52"/>
      <c r="K224" s="52"/>
    </row>
    <row r="228" spans="6:11" ht="27.75">
      <c r="F228" s="302"/>
    </row>
    <row r="233" spans="6:11">
      <c r="I233" s="87" t="s">
        <v>636</v>
      </c>
      <c r="J233" s="88">
        <f>SUM(J79:J223)/4</f>
        <v>0</v>
      </c>
      <c r="K233" s="89"/>
    </row>
    <row r="234" spans="6:11">
      <c r="I234" s="87" t="s">
        <v>637</v>
      </c>
      <c r="J234" s="88">
        <f>SUM(J57:J60)/3</f>
        <v>0</v>
      </c>
      <c r="K234" s="89"/>
    </row>
    <row r="235" spans="6:11">
      <c r="I235" s="87" t="s">
        <v>638</v>
      </c>
      <c r="J235" s="88">
        <f>J233-J234</f>
        <v>0</v>
      </c>
      <c r="K235" s="87" t="s">
        <v>639</v>
      </c>
    </row>
  </sheetData>
  <sheetProtection algorithmName="SHA-512" hashValue="uFpi0P6h44mxICZQrteg0VUEbLcv9qHNg8o3ag2XEofRf00t00+FmPWozNCJ+KDeJgpb+PYOcXrXJH9BKNirVg==" saltValue="MIFKEBH9TCVUBUpyt3mbGA==" spinCount="100000" sheet="1" objects="1" scenarios="1"/>
  <autoFilter ref="C78:K78" xr:uid="{00000000-0009-0000-0000-000001000000}"/>
  <mergeCells count="8">
    <mergeCell ref="E69:H69"/>
    <mergeCell ref="E71:H71"/>
    <mergeCell ref="G1:H1"/>
    <mergeCell ref="E7:H7"/>
    <mergeCell ref="E9:H9"/>
    <mergeCell ref="E25:H25"/>
    <mergeCell ref="E46:H46"/>
    <mergeCell ref="E48:H48"/>
  </mergeCells>
  <hyperlinks>
    <hyperlink ref="F1:G1" location="C2" tooltip="Krycí list soupisu" display="1) Krycí list soupisu" xr:uid="{00000000-0004-0000-0100-000000000000}"/>
    <hyperlink ref="G1:H1" location="C54" tooltip="Rekapitulace" display="2) Rekapitulace" xr:uid="{00000000-0004-0000-0100-000001000000}"/>
    <hyperlink ref="J1" location="C77" tooltip="Soupis prací" display="3) Soupis prací" xr:uid="{00000000-0004-0000-0100-000002000000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E9EEC-82D3-44F0-A490-DF5114D8B335}">
  <sheetPr>
    <pageSetUpPr fitToPage="1"/>
  </sheetPr>
  <dimension ref="A1:O94"/>
  <sheetViews>
    <sheetView showGridLines="0" view="pageBreakPreview" topLeftCell="B1" zoomScaleNormal="100" zoomScaleSheetLayoutView="100" workbookViewId="0">
      <pane ySplit="1" topLeftCell="A59" activePane="bottomLeft" state="frozen"/>
      <selection activeCell="P8" sqref="P8"/>
      <selection pane="bottomLeft" activeCell="I82" sqref="I82"/>
    </sheetView>
  </sheetViews>
  <sheetFormatPr defaultRowHeight="13.5"/>
  <cols>
    <col min="1" max="1" width="8.33203125" hidden="1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4.5" customWidth="1"/>
    <col min="10" max="10" width="23.5" customWidth="1"/>
    <col min="11" max="11" width="15.5" customWidth="1"/>
    <col min="13" max="26" width="0" hidden="1" customWidth="1"/>
  </cols>
  <sheetData>
    <row r="1" spans="1:15" ht="21.75" hidden="1" customHeight="1">
      <c r="A1" s="15"/>
      <c r="B1" s="19"/>
      <c r="C1" s="19"/>
      <c r="D1" s="20" t="s">
        <v>1</v>
      </c>
      <c r="E1" s="19"/>
      <c r="F1" s="18" t="s">
        <v>308</v>
      </c>
      <c r="G1" s="424" t="s">
        <v>309</v>
      </c>
      <c r="H1" s="424"/>
      <c r="I1" s="19"/>
      <c r="J1" s="18" t="s">
        <v>310</v>
      </c>
      <c r="K1" s="20" t="s">
        <v>45</v>
      </c>
    </row>
    <row r="2" spans="1:15" ht="36.950000000000003" hidden="1" customHeight="1"/>
    <row r="3" spans="1:15" ht="6.95" customHeight="1">
      <c r="B3" s="27"/>
      <c r="C3" s="28"/>
      <c r="D3" s="28"/>
      <c r="E3" s="28"/>
      <c r="F3" s="28"/>
      <c r="G3" s="28"/>
      <c r="H3" s="28"/>
      <c r="I3" s="28"/>
      <c r="J3" s="28"/>
      <c r="K3" s="29"/>
    </row>
    <row r="4" spans="1:15" ht="36.950000000000003" customHeight="1">
      <c r="B4" s="30"/>
      <c r="D4" s="31" t="s">
        <v>46</v>
      </c>
      <c r="K4" s="32"/>
      <c r="M4" s="302"/>
      <c r="O4" s="302"/>
    </row>
    <row r="5" spans="1:15" ht="6.95" customHeight="1">
      <c r="B5" s="30"/>
      <c r="K5" s="32"/>
    </row>
    <row r="6" spans="1:15" ht="15">
      <c r="B6" s="30"/>
      <c r="D6" s="35" t="s">
        <v>5</v>
      </c>
      <c r="K6" s="32"/>
    </row>
    <row r="7" spans="1:15" ht="22.5" customHeight="1">
      <c r="B7" s="30"/>
      <c r="E7" s="423" t="str">
        <f>'Rekapitulace stavby'!K6</f>
        <v>Realizace výtahu a rekonstrukce navazujících prostor interiéru budovy Městského úřadu Smržovka</v>
      </c>
      <c r="F7" s="370"/>
      <c r="G7" s="370"/>
      <c r="H7" s="370"/>
      <c r="K7" s="32"/>
    </row>
    <row r="8" spans="1:15" s="1" customFormat="1" ht="15">
      <c r="B8" s="39"/>
      <c r="D8" s="35" t="s">
        <v>47</v>
      </c>
      <c r="K8" s="42"/>
    </row>
    <row r="9" spans="1:15" s="1" customFormat="1" ht="36.950000000000003" customHeight="1">
      <c r="B9" s="39"/>
      <c r="E9" s="382" t="s">
        <v>972</v>
      </c>
      <c r="F9" s="375"/>
      <c r="G9" s="375"/>
      <c r="H9" s="375"/>
      <c r="K9" s="42"/>
    </row>
    <row r="10" spans="1:15" s="1" customFormat="1">
      <c r="B10" s="39"/>
      <c r="K10" s="42"/>
    </row>
    <row r="11" spans="1:15" s="1" customFormat="1" ht="14.45" customHeight="1">
      <c r="B11" s="39"/>
      <c r="D11" s="35" t="s">
        <v>6</v>
      </c>
      <c r="F11" s="36" t="s">
        <v>7</v>
      </c>
      <c r="I11" s="35" t="s">
        <v>8</v>
      </c>
      <c r="J11" s="36" t="s">
        <v>2</v>
      </c>
      <c r="K11" s="42"/>
    </row>
    <row r="12" spans="1:15" s="1" customFormat="1" ht="14.45" customHeight="1">
      <c r="B12" s="39"/>
      <c r="D12" s="35" t="s">
        <v>10</v>
      </c>
      <c r="F12" s="36" t="str">
        <f>'Rekapitulace stavby'!L45</f>
        <v>č.p. 600, st.p.č. 1/1, k.ú. Smržovka [751324]</v>
      </c>
      <c r="I12" s="35" t="s">
        <v>11</v>
      </c>
      <c r="J12" s="92">
        <f>'Rekapitulace stavby'!AN8</f>
        <v>45743</v>
      </c>
      <c r="K12" s="42"/>
    </row>
    <row r="13" spans="1:15" s="1" customFormat="1" ht="10.9" customHeight="1">
      <c r="B13" s="39"/>
      <c r="K13" s="42"/>
    </row>
    <row r="14" spans="1:15" s="1" customFormat="1" ht="14.45" customHeight="1">
      <c r="B14" s="39"/>
      <c r="D14" s="35" t="s">
        <v>12</v>
      </c>
      <c r="I14" s="35" t="s">
        <v>13</v>
      </c>
      <c r="J14" s="36" t="str">
        <f>'Rekapitulace stavby'!AN10</f>
        <v>002 62 579</v>
      </c>
      <c r="K14" s="42"/>
    </row>
    <row r="15" spans="1:15" s="1" customFormat="1" ht="18" customHeight="1">
      <c r="B15" s="39"/>
      <c r="E15" s="36" t="str">
        <f>'Rekapitulace stavby'!E11</f>
        <v>Město Smržovka, nám. T.G.Masaryka č.p. 600, Smržovka, PSČ 46851</v>
      </c>
      <c r="I15" s="35" t="s">
        <v>14</v>
      </c>
      <c r="J15" s="36" t="str">
        <f>'Rekapitulace stavby'!AN11</f>
        <v>CZ00262579</v>
      </c>
      <c r="K15" s="42"/>
    </row>
    <row r="16" spans="1:15" s="1" customFormat="1" ht="6.95" customHeight="1">
      <c r="B16" s="39"/>
      <c r="K16" s="42"/>
    </row>
    <row r="17" spans="2:11" s="1" customFormat="1" ht="14.45" customHeight="1">
      <c r="B17" s="39"/>
      <c r="D17" s="35" t="s">
        <v>15</v>
      </c>
      <c r="I17" s="35" t="s">
        <v>13</v>
      </c>
      <c r="J17" s="36" t="str">
        <f>IF('Rekapitulace stavby'!AN13="Vyplň údaj","",IF('Rekapitulace stavby'!AN13="","",'Rekapitulace stavby'!AN13))</f>
        <v/>
      </c>
      <c r="K17" s="42"/>
    </row>
    <row r="18" spans="2:11" s="1" customFormat="1" ht="18" customHeight="1">
      <c r="B18" s="39"/>
      <c r="E18" s="36" t="str">
        <f>IF('Rekapitulace stavby'!E14="Vyplň údaj","",IF('Rekapitulace stavby'!E14="","",'Rekapitulace stavby'!E14))</f>
        <v xml:space="preserve"> </v>
      </c>
      <c r="I18" s="35" t="s">
        <v>14</v>
      </c>
      <c r="J18" s="36" t="str">
        <f>IF('Rekapitulace stavby'!AN14="Vyplň údaj","",IF('Rekapitulace stavby'!AN14="","",'Rekapitulace stavby'!AN14))</f>
        <v/>
      </c>
      <c r="K18" s="42"/>
    </row>
    <row r="19" spans="2:11" s="1" customFormat="1" ht="6.95" customHeight="1">
      <c r="B19" s="39"/>
      <c r="K19" s="42"/>
    </row>
    <row r="20" spans="2:11" s="1" customFormat="1" ht="14.45" customHeight="1">
      <c r="B20" s="39"/>
      <c r="D20" s="35" t="s">
        <v>17</v>
      </c>
      <c r="I20" s="35" t="s">
        <v>13</v>
      </c>
      <c r="J20" s="36" t="str">
        <f>'Rekapitulace stavby'!AN16</f>
        <v>120 45 357</v>
      </c>
      <c r="K20" s="42"/>
    </row>
    <row r="21" spans="2:11" s="1" customFormat="1" ht="18" customHeight="1">
      <c r="B21" s="39"/>
      <c r="E21" s="36" t="str">
        <f>'Rekapitulace stavby'!E17</f>
        <v>LHOTA - STAVITELSTVÍ</v>
      </c>
      <c r="I21" s="35" t="s">
        <v>14</v>
      </c>
      <c r="J21" s="36" t="s">
        <v>2</v>
      </c>
      <c r="K21" s="42"/>
    </row>
    <row r="22" spans="2:11" s="1" customFormat="1" ht="15">
      <c r="B22" s="39"/>
      <c r="E22" s="36" t="str">
        <f>'Rekapitulace stavby'!E18</f>
        <v>sdružení osob Bohumil Lhota a Ing. Vít Lhota, sídlo: Zásada 311, PSČ 46825</v>
      </c>
      <c r="I22" s="35"/>
      <c r="J22" s="36"/>
      <c r="K22" s="42"/>
    </row>
    <row r="23" spans="2:11" s="1" customFormat="1" ht="15">
      <c r="B23" s="39"/>
      <c r="E23" s="299" t="str">
        <f>'Rekapitulace stavby'!E19</f>
        <v>ateliér: Smetanova 1809/82, Jablonec nad Nisou, PSČ 46601</v>
      </c>
      <c r="K23" s="42"/>
    </row>
    <row r="24" spans="2:11" s="1" customFormat="1" ht="14.45" customHeight="1">
      <c r="B24" s="39"/>
      <c r="D24" s="35" t="s">
        <v>18</v>
      </c>
      <c r="K24" s="42"/>
    </row>
    <row r="25" spans="2:11" s="6" customFormat="1" ht="22.5" customHeight="1">
      <c r="B25" s="93"/>
      <c r="E25" s="371" t="str">
        <f>'Rekapitulace stavby'!E21:AN21</f>
        <v>Provedeno na základě předložené dokumentace "DSJ".</v>
      </c>
      <c r="F25" s="427"/>
      <c r="G25" s="427"/>
      <c r="H25" s="427"/>
      <c r="K25" s="94"/>
    </row>
    <row r="26" spans="2:11" s="1" customFormat="1" ht="6.95" customHeight="1">
      <c r="B26" s="39"/>
      <c r="K26" s="42"/>
    </row>
    <row r="27" spans="2:11" s="1" customFormat="1" ht="6.95" customHeight="1">
      <c r="B27" s="39"/>
      <c r="D27" s="61"/>
      <c r="E27" s="61"/>
      <c r="F27" s="61"/>
      <c r="G27" s="61"/>
      <c r="H27" s="61"/>
      <c r="I27" s="61"/>
      <c r="J27" s="61"/>
      <c r="K27" s="95"/>
    </row>
    <row r="28" spans="2:11" s="1" customFormat="1" ht="25.35" customHeight="1">
      <c r="B28" s="39"/>
      <c r="D28" s="96" t="s">
        <v>19</v>
      </c>
      <c r="J28" s="97">
        <f>ROUND(J79,2)</f>
        <v>0</v>
      </c>
      <c r="K28" s="42"/>
    </row>
    <row r="29" spans="2:11" s="1" customFormat="1" ht="6.95" customHeight="1">
      <c r="B29" s="39"/>
      <c r="D29" s="61"/>
      <c r="E29" s="61"/>
      <c r="F29" s="61"/>
      <c r="G29" s="61"/>
      <c r="H29" s="61"/>
      <c r="I29" s="61"/>
      <c r="J29" s="61"/>
      <c r="K29" s="95"/>
    </row>
    <row r="30" spans="2:11" s="1" customFormat="1" ht="14.45" customHeight="1">
      <c r="B30" s="39"/>
      <c r="F30" s="98" t="s">
        <v>21</v>
      </c>
      <c r="I30" s="98" t="s">
        <v>20</v>
      </c>
      <c r="J30" s="98" t="s">
        <v>22</v>
      </c>
      <c r="K30" s="42"/>
    </row>
    <row r="31" spans="2:11" s="1" customFormat="1" ht="14.45" customHeight="1">
      <c r="B31" s="39"/>
      <c r="D31" s="44" t="s">
        <v>23</v>
      </c>
      <c r="E31" s="44" t="s">
        <v>24</v>
      </c>
      <c r="F31" s="99">
        <f>ROUND(SUM(J28), 2)</f>
        <v>0</v>
      </c>
      <c r="I31" s="100">
        <v>0.21</v>
      </c>
      <c r="J31" s="99">
        <f>ROUND(ROUND((SUM(F31)), 2)*I31, 2)</f>
        <v>0</v>
      </c>
      <c r="K31" s="42"/>
    </row>
    <row r="32" spans="2:11" s="1" customFormat="1" ht="14.45" customHeight="1">
      <c r="B32" s="39"/>
      <c r="E32" s="44" t="s">
        <v>25</v>
      </c>
      <c r="F32" s="99">
        <v>0</v>
      </c>
      <c r="I32" s="100">
        <v>0.15</v>
      </c>
      <c r="J32" s="99">
        <f>ROUND(ROUND((SUM(F32)), 2)*I32, 2)</f>
        <v>0</v>
      </c>
      <c r="K32" s="42"/>
    </row>
    <row r="33" spans="2:11" s="1" customFormat="1" ht="14.45" hidden="1" customHeight="1">
      <c r="B33" s="39"/>
      <c r="E33" s="44" t="s">
        <v>26</v>
      </c>
      <c r="F33" s="99" t="e">
        <f>ROUND(SUM(#REF!), 2)</f>
        <v>#REF!</v>
      </c>
      <c r="I33" s="100">
        <v>0.21</v>
      </c>
      <c r="J33" s="99">
        <v>0</v>
      </c>
      <c r="K33" s="42"/>
    </row>
    <row r="34" spans="2:11" s="1" customFormat="1" ht="14.45" hidden="1" customHeight="1">
      <c r="B34" s="39"/>
      <c r="E34" s="44" t="s">
        <v>27</v>
      </c>
      <c r="F34" s="99" t="e">
        <f>ROUND(SUM(#REF!), 2)</f>
        <v>#REF!</v>
      </c>
      <c r="I34" s="100">
        <v>0.15</v>
      </c>
      <c r="J34" s="99">
        <v>0</v>
      </c>
      <c r="K34" s="42"/>
    </row>
    <row r="35" spans="2:11" s="1" customFormat="1" ht="14.45" hidden="1" customHeight="1">
      <c r="B35" s="39"/>
      <c r="E35" s="44" t="s">
        <v>28</v>
      </c>
      <c r="F35" s="99" t="e">
        <f>ROUND(SUM(#REF!), 2)</f>
        <v>#REF!</v>
      </c>
      <c r="I35" s="100">
        <v>0</v>
      </c>
      <c r="J35" s="99">
        <v>0</v>
      </c>
      <c r="K35" s="42"/>
    </row>
    <row r="36" spans="2:11" s="1" customFormat="1" ht="6.95" customHeight="1">
      <c r="B36" s="39"/>
      <c r="K36" s="42"/>
    </row>
    <row r="37" spans="2:11" s="1" customFormat="1" ht="25.35" customHeight="1">
      <c r="B37" s="39"/>
      <c r="C37" s="101"/>
      <c r="D37" s="102" t="s">
        <v>29</v>
      </c>
      <c r="E37" s="62"/>
      <c r="F37" s="62"/>
      <c r="G37" s="103" t="s">
        <v>30</v>
      </c>
      <c r="H37" s="104" t="s">
        <v>31</v>
      </c>
      <c r="I37" s="62"/>
      <c r="J37" s="105">
        <f>SUM(J28:J35)</f>
        <v>0</v>
      </c>
      <c r="K37" s="106"/>
    </row>
    <row r="38" spans="2:11" s="1" customFormat="1" ht="14.45" customHeight="1">
      <c r="B38" s="51"/>
      <c r="C38" s="52"/>
      <c r="D38" s="52"/>
      <c r="E38" s="52"/>
      <c r="F38" s="52"/>
      <c r="G38" s="52"/>
      <c r="H38" s="52"/>
      <c r="I38" s="52"/>
      <c r="J38" s="52"/>
      <c r="K38" s="53"/>
    </row>
    <row r="42" spans="2:11" s="1" customFormat="1" ht="6.95" customHeight="1">
      <c r="B42" s="54"/>
      <c r="C42" s="55"/>
      <c r="D42" s="55"/>
      <c r="E42" s="55"/>
      <c r="F42" s="55"/>
      <c r="G42" s="55"/>
      <c r="H42" s="55"/>
      <c r="I42" s="55"/>
      <c r="J42" s="55"/>
      <c r="K42" s="107"/>
    </row>
    <row r="43" spans="2:11" s="1" customFormat="1" ht="36.950000000000003" customHeight="1">
      <c r="B43" s="39"/>
      <c r="C43" s="31" t="s">
        <v>48</v>
      </c>
      <c r="K43" s="42"/>
    </row>
    <row r="44" spans="2:11" s="1" customFormat="1" ht="6.95" customHeight="1">
      <c r="B44" s="39"/>
      <c r="K44" s="42"/>
    </row>
    <row r="45" spans="2:11" s="1" customFormat="1" ht="14.45" customHeight="1">
      <c r="B45" s="39"/>
      <c r="C45" s="35" t="s">
        <v>5</v>
      </c>
      <c r="K45" s="42"/>
    </row>
    <row r="46" spans="2:11" s="1" customFormat="1" ht="22.5" customHeight="1">
      <c r="B46" s="39"/>
      <c r="E46" s="423" t="str">
        <f>E7</f>
        <v>Realizace výtahu a rekonstrukce navazujících prostor interiéru budovy Městského úřadu Smržovka</v>
      </c>
      <c r="F46" s="375"/>
      <c r="G46" s="375"/>
      <c r="H46" s="375"/>
      <c r="K46" s="42"/>
    </row>
    <row r="47" spans="2:11" s="1" customFormat="1" ht="14.45" customHeight="1">
      <c r="B47" s="39"/>
      <c r="C47" s="35" t="s">
        <v>47</v>
      </c>
      <c r="K47" s="42"/>
    </row>
    <row r="48" spans="2:11" s="1" customFormat="1" ht="23.25" customHeight="1">
      <c r="B48" s="39"/>
      <c r="E48" s="382" t="str">
        <f>E9</f>
        <v>IO 03 - Vodovodní přípojka</v>
      </c>
      <c r="F48" s="375"/>
      <c r="G48" s="375"/>
      <c r="H48" s="375"/>
      <c r="K48" s="42"/>
    </row>
    <row r="49" spans="2:11" s="1" customFormat="1" ht="6.95" customHeight="1">
      <c r="B49" s="39"/>
      <c r="K49" s="42"/>
    </row>
    <row r="50" spans="2:11" s="1" customFormat="1" ht="18" customHeight="1">
      <c r="B50" s="39"/>
      <c r="C50" s="35" t="s">
        <v>10</v>
      </c>
      <c r="F50" s="36" t="str">
        <f>F12</f>
        <v>č.p. 600, st.p.č. 1/1, k.ú. Smržovka [751324]</v>
      </c>
      <c r="I50" s="35" t="s">
        <v>11</v>
      </c>
      <c r="J50" s="92">
        <f>IF(J12="","",J12)</f>
        <v>45743</v>
      </c>
      <c r="K50" s="42"/>
    </row>
    <row r="51" spans="2:11" s="1" customFormat="1" ht="6.95" customHeight="1">
      <c r="B51" s="39"/>
      <c r="K51" s="42"/>
    </row>
    <row r="52" spans="2:11" s="1" customFormat="1" ht="15">
      <c r="B52" s="39"/>
      <c r="C52" s="35" t="s">
        <v>12</v>
      </c>
      <c r="F52" s="36" t="str">
        <f>E15</f>
        <v>Město Smržovka, nám. T.G.Masaryka č.p. 600, Smržovka, PSČ 46851</v>
      </c>
      <c r="I52" s="35" t="s">
        <v>17</v>
      </c>
      <c r="J52" s="36" t="str">
        <f>E21</f>
        <v>LHOTA - STAVITELSTVÍ</v>
      </c>
      <c r="K52" s="42"/>
    </row>
    <row r="53" spans="2:11" s="1" customFormat="1" ht="14.45" customHeight="1">
      <c r="B53" s="39"/>
      <c r="C53" s="35" t="s">
        <v>15</v>
      </c>
      <c r="F53" s="36" t="str">
        <f>IF(E18="","",E18)</f>
        <v xml:space="preserve"> </v>
      </c>
      <c r="K53" s="42"/>
    </row>
    <row r="54" spans="2:11" s="1" customFormat="1" ht="10.35" customHeight="1">
      <c r="B54" s="39"/>
      <c r="K54" s="42"/>
    </row>
    <row r="55" spans="2:11" s="1" customFormat="1" ht="29.25" customHeight="1">
      <c r="B55" s="39"/>
      <c r="C55" s="108" t="s">
        <v>49</v>
      </c>
      <c r="D55" s="101"/>
      <c r="E55" s="101"/>
      <c r="F55" s="101"/>
      <c r="G55" s="101"/>
      <c r="H55" s="101"/>
      <c r="I55" s="101"/>
      <c r="J55" s="109" t="s">
        <v>50</v>
      </c>
      <c r="K55" s="110"/>
    </row>
    <row r="56" spans="2:11" s="1" customFormat="1" ht="10.35" customHeight="1">
      <c r="B56" s="39"/>
      <c r="K56" s="42"/>
    </row>
    <row r="57" spans="2:11" s="1" customFormat="1" ht="29.25" customHeight="1">
      <c r="B57" s="39"/>
      <c r="C57" s="111" t="s">
        <v>51</v>
      </c>
      <c r="J57" s="97">
        <f>J79</f>
        <v>0</v>
      </c>
      <c r="K57" s="42"/>
    </row>
    <row r="58" spans="2:11" s="7" customFormat="1" ht="24.95" customHeight="1">
      <c r="B58" s="112"/>
      <c r="D58" s="113" t="s">
        <v>75</v>
      </c>
      <c r="E58" s="114"/>
      <c r="F58" s="114"/>
      <c r="G58" s="114"/>
      <c r="H58" s="114"/>
      <c r="I58" s="114"/>
      <c r="J58" s="115">
        <f>J80</f>
        <v>0</v>
      </c>
      <c r="K58" s="116"/>
    </row>
    <row r="59" spans="2:11" s="8" customFormat="1" ht="19.899999999999999" customHeight="1">
      <c r="B59" s="117"/>
      <c r="D59" s="118" t="s">
        <v>53</v>
      </c>
      <c r="E59" s="119"/>
      <c r="F59" s="119"/>
      <c r="G59" s="119"/>
      <c r="H59" s="119"/>
      <c r="I59" s="119"/>
      <c r="J59" s="120">
        <f>J81</f>
        <v>0</v>
      </c>
      <c r="K59" s="121"/>
    </row>
    <row r="60" spans="2:11" s="1" customFormat="1" ht="21.75" customHeight="1">
      <c r="B60" s="39"/>
      <c r="K60" s="42"/>
    </row>
    <row r="61" spans="2:11" s="1" customFormat="1" ht="6.95" customHeight="1">
      <c r="B61" s="51"/>
      <c r="C61" s="52"/>
      <c r="D61" s="52"/>
      <c r="E61" s="52"/>
      <c r="F61" s="52"/>
      <c r="G61" s="52"/>
      <c r="H61" s="52"/>
      <c r="I61" s="52"/>
      <c r="J61" s="52"/>
      <c r="K61" s="53"/>
    </row>
    <row r="65" spans="2:11" s="1" customFormat="1" ht="6.95" customHeight="1">
      <c r="B65" s="54"/>
      <c r="C65" s="55"/>
      <c r="D65" s="55"/>
      <c r="E65" s="55"/>
      <c r="F65" s="55"/>
      <c r="G65" s="55"/>
      <c r="H65" s="55"/>
      <c r="I65" s="55"/>
      <c r="J65" s="55"/>
      <c r="K65" s="55"/>
    </row>
    <row r="66" spans="2:11" s="1" customFormat="1" ht="36.950000000000003" customHeight="1">
      <c r="B66" s="39"/>
      <c r="C66" s="31" t="s">
        <v>54</v>
      </c>
    </row>
    <row r="67" spans="2:11" s="1" customFormat="1" ht="6.95" customHeight="1">
      <c r="B67" s="39"/>
    </row>
    <row r="68" spans="2:11" s="1" customFormat="1" ht="14.45" customHeight="1">
      <c r="B68" s="39"/>
      <c r="C68" s="35" t="s">
        <v>5</v>
      </c>
    </row>
    <row r="69" spans="2:11" s="1" customFormat="1" ht="22.5" customHeight="1">
      <c r="B69" s="39"/>
      <c r="E69" s="423" t="str">
        <f>E7</f>
        <v>Realizace výtahu a rekonstrukce navazujících prostor interiéru budovy Městského úřadu Smržovka</v>
      </c>
      <c r="F69" s="375"/>
      <c r="G69" s="375"/>
      <c r="H69" s="375"/>
    </row>
    <row r="70" spans="2:11" s="1" customFormat="1" ht="14.45" customHeight="1">
      <c r="B70" s="39"/>
      <c r="C70" s="35" t="s">
        <v>47</v>
      </c>
    </row>
    <row r="71" spans="2:11" s="1" customFormat="1" ht="23.25" customHeight="1">
      <c r="B71" s="39"/>
      <c r="E71" s="382" t="str">
        <f>E9</f>
        <v>IO 03 - Vodovodní přípojka</v>
      </c>
      <c r="F71" s="375"/>
      <c r="G71" s="375"/>
      <c r="H71" s="375"/>
    </row>
    <row r="72" spans="2:11" s="1" customFormat="1" ht="6.95" customHeight="1">
      <c r="B72" s="39"/>
    </row>
    <row r="73" spans="2:11" s="1" customFormat="1" ht="18" customHeight="1">
      <c r="B73" s="39"/>
      <c r="C73" s="35" t="s">
        <v>10</v>
      </c>
      <c r="F73" s="36" t="str">
        <f>F12</f>
        <v>č.p. 600, st.p.č. 1/1, k.ú. Smržovka [751324]</v>
      </c>
      <c r="I73" s="35" t="s">
        <v>11</v>
      </c>
      <c r="J73" s="92">
        <f>IF(J12="","",J12)</f>
        <v>45743</v>
      </c>
    </row>
    <row r="74" spans="2:11" s="1" customFormat="1" ht="6.95" customHeight="1">
      <c r="B74" s="39"/>
    </row>
    <row r="75" spans="2:11" s="1" customFormat="1" ht="15">
      <c r="B75" s="39"/>
      <c r="C75" s="35" t="s">
        <v>12</v>
      </c>
      <c r="F75" s="36" t="str">
        <f>E15</f>
        <v>Město Smržovka, nám. T.G.Masaryka č.p. 600, Smržovka, PSČ 46851</v>
      </c>
      <c r="I75" s="35" t="s">
        <v>17</v>
      </c>
      <c r="J75" s="36" t="str">
        <f>E21</f>
        <v>LHOTA - STAVITELSTVÍ</v>
      </c>
    </row>
    <row r="76" spans="2:11" s="1" customFormat="1" ht="14.45" customHeight="1">
      <c r="B76" s="39"/>
      <c r="C76" s="35" t="s">
        <v>15</v>
      </c>
      <c r="F76" s="36" t="str">
        <f>IF(E18="","",E18)</f>
        <v xml:space="preserve"> </v>
      </c>
    </row>
    <row r="77" spans="2:11" s="1" customFormat="1" ht="10.35" customHeight="1">
      <c r="B77" s="39"/>
    </row>
    <row r="78" spans="2:11" s="9" customFormat="1" ht="29.25" customHeight="1">
      <c r="B78" s="122"/>
      <c r="C78" s="123" t="s">
        <v>55</v>
      </c>
      <c r="D78" s="124" t="s">
        <v>37</v>
      </c>
      <c r="E78" s="124" t="s">
        <v>33</v>
      </c>
      <c r="F78" s="124" t="s">
        <v>56</v>
      </c>
      <c r="G78" s="124" t="s">
        <v>57</v>
      </c>
      <c r="H78" s="124" t="s">
        <v>58</v>
      </c>
      <c r="I78" s="125" t="s">
        <v>59</v>
      </c>
      <c r="J78" s="124" t="s">
        <v>50</v>
      </c>
      <c r="K78" s="126" t="s">
        <v>60</v>
      </c>
    </row>
    <row r="79" spans="2:11" s="1" customFormat="1" ht="29.25" customHeight="1">
      <c r="B79" s="39"/>
      <c r="C79" s="64" t="s">
        <v>51</v>
      </c>
      <c r="J79" s="127">
        <f>J80</f>
        <v>0</v>
      </c>
    </row>
    <row r="80" spans="2:11" s="10" customFormat="1" ht="24" customHeight="1">
      <c r="B80" s="128"/>
      <c r="D80" s="129" t="s">
        <v>39</v>
      </c>
      <c r="E80" s="130" t="s">
        <v>206</v>
      </c>
      <c r="F80" s="130" t="s">
        <v>207</v>
      </c>
      <c r="J80" s="131">
        <f>J81</f>
        <v>0</v>
      </c>
    </row>
    <row r="81" spans="2:11" s="10" customFormat="1" ht="19.899999999999999" customHeight="1">
      <c r="B81" s="128"/>
      <c r="D81" s="129" t="s">
        <v>39</v>
      </c>
      <c r="E81" s="133">
        <v>3</v>
      </c>
      <c r="F81" s="133" t="s">
        <v>973</v>
      </c>
      <c r="J81" s="134">
        <f>SUM(J82:J82)</f>
        <v>0</v>
      </c>
    </row>
    <row r="82" spans="2:11" s="1" customFormat="1" ht="22.5" customHeight="1">
      <c r="B82" s="39"/>
      <c r="C82" s="135">
        <v>1</v>
      </c>
      <c r="D82" s="135"/>
      <c r="E82" s="136"/>
      <c r="F82" s="137" t="s">
        <v>2293</v>
      </c>
      <c r="G82" s="138"/>
      <c r="H82" s="139">
        <v>0</v>
      </c>
      <c r="I82" s="90"/>
      <c r="J82" s="140">
        <f>ROUND(I82*H82,2)</f>
        <v>0</v>
      </c>
      <c r="K82" s="137"/>
    </row>
    <row r="83" spans="2:11" s="1" customFormat="1" ht="6.95" customHeight="1">
      <c r="B83" s="51"/>
      <c r="C83" s="52"/>
      <c r="D83" s="52"/>
      <c r="E83" s="52"/>
      <c r="F83" s="52"/>
      <c r="G83" s="52"/>
      <c r="H83" s="52"/>
      <c r="I83" s="52"/>
      <c r="J83" s="52"/>
      <c r="K83" s="52"/>
    </row>
    <row r="87" spans="2:11" ht="27.75">
      <c r="F87" s="302"/>
    </row>
    <row r="92" spans="2:11">
      <c r="I92" s="87" t="s">
        <v>636</v>
      </c>
      <c r="J92" s="88">
        <f>SUM(J79:J82)/4</f>
        <v>0</v>
      </c>
      <c r="K92" s="89"/>
    </row>
    <row r="93" spans="2:11">
      <c r="I93" s="87" t="s">
        <v>637</v>
      </c>
      <c r="J93" s="88">
        <f>SUM(J57:J60)/3</f>
        <v>0</v>
      </c>
      <c r="K93" s="89"/>
    </row>
    <row r="94" spans="2:11">
      <c r="I94" s="87" t="s">
        <v>638</v>
      </c>
      <c r="J94" s="88">
        <f>J92-J93</f>
        <v>0</v>
      </c>
      <c r="K94" s="87" t="s">
        <v>639</v>
      </c>
    </row>
  </sheetData>
  <sheetProtection algorithmName="SHA-512" hashValue="r5/CijYgOpPv77uisNbyDZ4kcGXqasv+XbRIXVIduW1zt3VMr5iKxUnyjuRPNg/LikxipAF2flYzHF1gMEtqoA==" saltValue="s7tYJSITAKuibXb4ksdtaw==" spinCount="100000" sheet="1" objects="1" scenarios="1"/>
  <autoFilter ref="C78:K78" xr:uid="{00000000-0009-0000-0000-000001000000}"/>
  <mergeCells count="8">
    <mergeCell ref="E69:H69"/>
    <mergeCell ref="E71:H71"/>
    <mergeCell ref="G1:H1"/>
    <mergeCell ref="E7:H7"/>
    <mergeCell ref="E9:H9"/>
    <mergeCell ref="E25:H25"/>
    <mergeCell ref="E46:H46"/>
    <mergeCell ref="E48:H48"/>
  </mergeCells>
  <hyperlinks>
    <hyperlink ref="F1:G1" location="C2" tooltip="Krycí list soupisu" display="1) Krycí list soupisu" xr:uid="{EAFAA88C-C5C0-423A-A4D1-91CC4A90D47A}"/>
    <hyperlink ref="G1:H1" location="C54" tooltip="Rekapitulace" display="2) Rekapitulace" xr:uid="{525EDEEB-0B88-4DE7-8CF1-F42C942E3EEC}"/>
    <hyperlink ref="J1" location="C77" tooltip="Soupis prací" display="3) Soupis prací" xr:uid="{ADF4830E-815E-4704-85B5-512E654743CF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B87FA-E2E3-40D8-9C13-1677FA4CF9EE}">
  <sheetPr>
    <pageSetUpPr fitToPage="1"/>
  </sheetPr>
  <dimension ref="A1:O94"/>
  <sheetViews>
    <sheetView showGridLines="0" view="pageBreakPreview" topLeftCell="B1" zoomScaleNormal="100" zoomScaleSheetLayoutView="100" workbookViewId="0">
      <pane ySplit="1" topLeftCell="A59" activePane="bottomLeft" state="frozen"/>
      <selection activeCell="P8" sqref="P8"/>
      <selection pane="bottomLeft" activeCell="I82" sqref="I82"/>
    </sheetView>
  </sheetViews>
  <sheetFormatPr defaultRowHeight="13.5"/>
  <cols>
    <col min="1" max="1" width="8.33203125" hidden="1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4.5" customWidth="1"/>
    <col min="10" max="10" width="23.5" customWidth="1"/>
    <col min="11" max="11" width="15.5" customWidth="1"/>
    <col min="13" max="26" width="0" hidden="1" customWidth="1"/>
  </cols>
  <sheetData>
    <row r="1" spans="1:15" ht="21.75" hidden="1" customHeight="1">
      <c r="A1" s="15"/>
      <c r="B1" s="19"/>
      <c r="C1" s="19"/>
      <c r="D1" s="20" t="s">
        <v>1</v>
      </c>
      <c r="E1" s="19"/>
      <c r="F1" s="18" t="s">
        <v>308</v>
      </c>
      <c r="G1" s="424" t="s">
        <v>309</v>
      </c>
      <c r="H1" s="424"/>
      <c r="I1" s="19"/>
      <c r="J1" s="18" t="s">
        <v>310</v>
      </c>
      <c r="K1" s="20" t="s">
        <v>45</v>
      </c>
    </row>
    <row r="2" spans="1:15" ht="36.950000000000003" hidden="1" customHeight="1"/>
    <row r="3" spans="1:15" ht="6.95" customHeight="1">
      <c r="B3" s="27"/>
      <c r="C3" s="28"/>
      <c r="D3" s="28"/>
      <c r="E3" s="28"/>
      <c r="F3" s="28"/>
      <c r="G3" s="28"/>
      <c r="H3" s="28"/>
      <c r="I3" s="28"/>
      <c r="J3" s="28"/>
      <c r="K3" s="29"/>
    </row>
    <row r="4" spans="1:15" ht="36.950000000000003" customHeight="1">
      <c r="B4" s="30"/>
      <c r="D4" s="31" t="s">
        <v>46</v>
      </c>
      <c r="K4" s="32"/>
      <c r="M4" s="302"/>
      <c r="O4" s="302"/>
    </row>
    <row r="5" spans="1:15" ht="6.95" customHeight="1">
      <c r="B5" s="30"/>
      <c r="K5" s="32"/>
    </row>
    <row r="6" spans="1:15" ht="15">
      <c r="B6" s="30"/>
      <c r="D6" s="35" t="s">
        <v>5</v>
      </c>
      <c r="K6" s="32"/>
    </row>
    <row r="7" spans="1:15" ht="22.5" customHeight="1">
      <c r="B7" s="30"/>
      <c r="E7" s="423" t="str">
        <f>'Rekapitulace stavby'!K6</f>
        <v>Realizace výtahu a rekonstrukce navazujících prostor interiéru budovy Městského úřadu Smržovka</v>
      </c>
      <c r="F7" s="370"/>
      <c r="G7" s="370"/>
      <c r="H7" s="370"/>
      <c r="K7" s="32"/>
    </row>
    <row r="8" spans="1:15" s="1" customFormat="1" ht="15">
      <c r="B8" s="39"/>
      <c r="D8" s="35" t="s">
        <v>47</v>
      </c>
      <c r="K8" s="42"/>
    </row>
    <row r="9" spans="1:15" s="1" customFormat="1" ht="36.950000000000003" customHeight="1">
      <c r="B9" s="39"/>
      <c r="E9" s="382" t="s">
        <v>974</v>
      </c>
      <c r="F9" s="375"/>
      <c r="G9" s="375"/>
      <c r="H9" s="375"/>
      <c r="K9" s="42"/>
    </row>
    <row r="10" spans="1:15" s="1" customFormat="1">
      <c r="B10" s="39"/>
      <c r="K10" s="42"/>
    </row>
    <row r="11" spans="1:15" s="1" customFormat="1" ht="14.45" customHeight="1">
      <c r="B11" s="39"/>
      <c r="D11" s="35" t="s">
        <v>6</v>
      </c>
      <c r="F11" s="36" t="s">
        <v>7</v>
      </c>
      <c r="I11" s="35" t="s">
        <v>8</v>
      </c>
      <c r="J11" s="36" t="s">
        <v>2</v>
      </c>
      <c r="K11" s="42"/>
    </row>
    <row r="12" spans="1:15" s="1" customFormat="1" ht="14.45" customHeight="1">
      <c r="B12" s="39"/>
      <c r="D12" s="35" t="s">
        <v>10</v>
      </c>
      <c r="F12" s="36" t="str">
        <f>'Rekapitulace stavby'!L45</f>
        <v>č.p. 600, st.p.č. 1/1, k.ú. Smržovka [751324]</v>
      </c>
      <c r="I12" s="35" t="s">
        <v>11</v>
      </c>
      <c r="J12" s="92">
        <f>'Rekapitulace stavby'!AN8</f>
        <v>45743</v>
      </c>
      <c r="K12" s="42"/>
    </row>
    <row r="13" spans="1:15" s="1" customFormat="1" ht="10.9" customHeight="1">
      <c r="B13" s="39"/>
      <c r="K13" s="42"/>
    </row>
    <row r="14" spans="1:15" s="1" customFormat="1" ht="14.45" customHeight="1">
      <c r="B14" s="39"/>
      <c r="D14" s="35" t="s">
        <v>12</v>
      </c>
      <c r="I14" s="35" t="s">
        <v>13</v>
      </c>
      <c r="J14" s="36" t="str">
        <f>'Rekapitulace stavby'!AN10</f>
        <v>002 62 579</v>
      </c>
      <c r="K14" s="42"/>
    </row>
    <row r="15" spans="1:15" s="1" customFormat="1" ht="18" customHeight="1">
      <c r="B15" s="39"/>
      <c r="E15" s="36" t="str">
        <f>'Rekapitulace stavby'!E11</f>
        <v>Město Smržovka, nám. T.G.Masaryka č.p. 600, Smržovka, PSČ 46851</v>
      </c>
      <c r="I15" s="35" t="s">
        <v>14</v>
      </c>
      <c r="J15" s="36" t="str">
        <f>'Rekapitulace stavby'!AN11</f>
        <v>CZ00262579</v>
      </c>
      <c r="K15" s="42"/>
    </row>
    <row r="16" spans="1:15" s="1" customFormat="1" ht="6.95" customHeight="1">
      <c r="B16" s="39"/>
      <c r="K16" s="42"/>
    </row>
    <row r="17" spans="2:11" s="1" customFormat="1" ht="14.45" customHeight="1">
      <c r="B17" s="39"/>
      <c r="D17" s="35" t="s">
        <v>15</v>
      </c>
      <c r="I17" s="35" t="s">
        <v>13</v>
      </c>
      <c r="J17" s="36" t="str">
        <f>IF('Rekapitulace stavby'!AN13="Vyplň údaj","",IF('Rekapitulace stavby'!AN13="","",'Rekapitulace stavby'!AN13))</f>
        <v/>
      </c>
      <c r="K17" s="42"/>
    </row>
    <row r="18" spans="2:11" s="1" customFormat="1" ht="18" customHeight="1">
      <c r="B18" s="39"/>
      <c r="E18" s="36" t="str">
        <f>IF('Rekapitulace stavby'!E14="Vyplň údaj","",IF('Rekapitulace stavby'!E14="","",'Rekapitulace stavby'!E14))</f>
        <v xml:space="preserve"> </v>
      </c>
      <c r="I18" s="35" t="s">
        <v>14</v>
      </c>
      <c r="J18" s="36" t="str">
        <f>IF('Rekapitulace stavby'!AN14="Vyplň údaj","",IF('Rekapitulace stavby'!AN14="","",'Rekapitulace stavby'!AN14))</f>
        <v/>
      </c>
      <c r="K18" s="42"/>
    </row>
    <row r="19" spans="2:11" s="1" customFormat="1" ht="6.95" customHeight="1">
      <c r="B19" s="39"/>
      <c r="K19" s="42"/>
    </row>
    <row r="20" spans="2:11" s="1" customFormat="1" ht="14.45" customHeight="1">
      <c r="B20" s="39"/>
      <c r="D20" s="35" t="s">
        <v>17</v>
      </c>
      <c r="I20" s="35" t="s">
        <v>13</v>
      </c>
      <c r="J20" s="36" t="str">
        <f>'Rekapitulace stavby'!AN16</f>
        <v>120 45 357</v>
      </c>
      <c r="K20" s="42"/>
    </row>
    <row r="21" spans="2:11" s="1" customFormat="1" ht="18" customHeight="1">
      <c r="B21" s="39"/>
      <c r="E21" s="36" t="str">
        <f>'Rekapitulace stavby'!E17</f>
        <v>LHOTA - STAVITELSTVÍ</v>
      </c>
      <c r="I21" s="35" t="s">
        <v>14</v>
      </c>
      <c r="J21" s="36" t="s">
        <v>2</v>
      </c>
      <c r="K21" s="42"/>
    </row>
    <row r="22" spans="2:11" s="1" customFormat="1" ht="15">
      <c r="B22" s="39"/>
      <c r="E22" s="36" t="str">
        <f>'Rekapitulace stavby'!E18</f>
        <v>sdružení osob Bohumil Lhota a Ing. Vít Lhota, sídlo: Zásada 311, PSČ 46825</v>
      </c>
      <c r="I22" s="35"/>
      <c r="J22" s="36"/>
      <c r="K22" s="42"/>
    </row>
    <row r="23" spans="2:11" s="1" customFormat="1" ht="15">
      <c r="B23" s="39"/>
      <c r="E23" s="299" t="str">
        <f>'Rekapitulace stavby'!E19</f>
        <v>ateliér: Smetanova 1809/82, Jablonec nad Nisou, PSČ 46601</v>
      </c>
      <c r="K23" s="42"/>
    </row>
    <row r="24" spans="2:11" s="1" customFormat="1" ht="14.45" customHeight="1">
      <c r="B24" s="39"/>
      <c r="D24" s="35" t="s">
        <v>18</v>
      </c>
      <c r="K24" s="42"/>
    </row>
    <row r="25" spans="2:11" s="6" customFormat="1" ht="22.5" customHeight="1">
      <c r="B25" s="93"/>
      <c r="E25" s="371" t="str">
        <f>'Rekapitulace stavby'!E21:AN21</f>
        <v>Provedeno na základě předložené dokumentace "DSJ".</v>
      </c>
      <c r="F25" s="427"/>
      <c r="G25" s="427"/>
      <c r="H25" s="427"/>
      <c r="K25" s="94"/>
    </row>
    <row r="26" spans="2:11" s="1" customFormat="1" ht="6.95" customHeight="1">
      <c r="B26" s="39"/>
      <c r="K26" s="42"/>
    </row>
    <row r="27" spans="2:11" s="1" customFormat="1" ht="6.95" customHeight="1">
      <c r="B27" s="39"/>
      <c r="D27" s="61"/>
      <c r="E27" s="61"/>
      <c r="F27" s="61"/>
      <c r="G27" s="61"/>
      <c r="H27" s="61"/>
      <c r="I27" s="61"/>
      <c r="J27" s="61"/>
      <c r="K27" s="95"/>
    </row>
    <row r="28" spans="2:11" s="1" customFormat="1" ht="25.35" customHeight="1">
      <c r="B28" s="39"/>
      <c r="D28" s="96" t="s">
        <v>19</v>
      </c>
      <c r="J28" s="97">
        <f>ROUND(J79,2)</f>
        <v>0</v>
      </c>
      <c r="K28" s="42"/>
    </row>
    <row r="29" spans="2:11" s="1" customFormat="1" ht="6.95" customHeight="1">
      <c r="B29" s="39"/>
      <c r="D29" s="61"/>
      <c r="E29" s="61"/>
      <c r="F29" s="61"/>
      <c r="G29" s="61"/>
      <c r="H29" s="61"/>
      <c r="I29" s="61"/>
      <c r="J29" s="61"/>
      <c r="K29" s="95"/>
    </row>
    <row r="30" spans="2:11" s="1" customFormat="1" ht="14.45" customHeight="1">
      <c r="B30" s="39"/>
      <c r="F30" s="98" t="s">
        <v>21</v>
      </c>
      <c r="I30" s="98" t="s">
        <v>20</v>
      </c>
      <c r="J30" s="98" t="s">
        <v>22</v>
      </c>
      <c r="K30" s="42"/>
    </row>
    <row r="31" spans="2:11" s="1" customFormat="1" ht="14.45" customHeight="1">
      <c r="B31" s="39"/>
      <c r="D31" s="44" t="s">
        <v>23</v>
      </c>
      <c r="E31" s="44" t="s">
        <v>24</v>
      </c>
      <c r="F31" s="99">
        <f>ROUND(SUM(J28), 2)</f>
        <v>0</v>
      </c>
      <c r="I31" s="100">
        <v>0.21</v>
      </c>
      <c r="J31" s="99">
        <f>ROUND(ROUND((SUM(F31)), 2)*I31, 2)</f>
        <v>0</v>
      </c>
      <c r="K31" s="42"/>
    </row>
    <row r="32" spans="2:11" s="1" customFormat="1" ht="14.45" customHeight="1">
      <c r="B32" s="39"/>
      <c r="E32" s="44" t="s">
        <v>25</v>
      </c>
      <c r="F32" s="99">
        <v>0</v>
      </c>
      <c r="I32" s="100">
        <v>0.15</v>
      </c>
      <c r="J32" s="99">
        <f>ROUND(ROUND((SUM(F32)), 2)*I32, 2)</f>
        <v>0</v>
      </c>
      <c r="K32" s="42"/>
    </row>
    <row r="33" spans="2:11" s="1" customFormat="1" ht="14.45" hidden="1" customHeight="1">
      <c r="B33" s="39"/>
      <c r="E33" s="44" t="s">
        <v>26</v>
      </c>
      <c r="F33" s="99" t="e">
        <f>ROUND(SUM(#REF!), 2)</f>
        <v>#REF!</v>
      </c>
      <c r="I33" s="100">
        <v>0.21</v>
      </c>
      <c r="J33" s="99">
        <v>0</v>
      </c>
      <c r="K33" s="42"/>
    </row>
    <row r="34" spans="2:11" s="1" customFormat="1" ht="14.45" hidden="1" customHeight="1">
      <c r="B34" s="39"/>
      <c r="E34" s="44" t="s">
        <v>27</v>
      </c>
      <c r="F34" s="99" t="e">
        <f>ROUND(SUM(#REF!), 2)</f>
        <v>#REF!</v>
      </c>
      <c r="I34" s="100">
        <v>0.15</v>
      </c>
      <c r="J34" s="99">
        <v>0</v>
      </c>
      <c r="K34" s="42"/>
    </row>
    <row r="35" spans="2:11" s="1" customFormat="1" ht="14.45" hidden="1" customHeight="1">
      <c r="B35" s="39"/>
      <c r="E35" s="44" t="s">
        <v>28</v>
      </c>
      <c r="F35" s="99" t="e">
        <f>ROUND(SUM(#REF!), 2)</f>
        <v>#REF!</v>
      </c>
      <c r="I35" s="100">
        <v>0</v>
      </c>
      <c r="J35" s="99">
        <v>0</v>
      </c>
      <c r="K35" s="42"/>
    </row>
    <row r="36" spans="2:11" s="1" customFormat="1" ht="6.95" customHeight="1">
      <c r="B36" s="39"/>
      <c r="K36" s="42"/>
    </row>
    <row r="37" spans="2:11" s="1" customFormat="1" ht="25.35" customHeight="1">
      <c r="B37" s="39"/>
      <c r="C37" s="101"/>
      <c r="D37" s="102" t="s">
        <v>29</v>
      </c>
      <c r="E37" s="62"/>
      <c r="F37" s="62"/>
      <c r="G37" s="103" t="s">
        <v>30</v>
      </c>
      <c r="H37" s="104" t="s">
        <v>31</v>
      </c>
      <c r="I37" s="62"/>
      <c r="J37" s="105">
        <f>SUM(J28:J35)</f>
        <v>0</v>
      </c>
      <c r="K37" s="106"/>
    </row>
    <row r="38" spans="2:11" s="1" customFormat="1" ht="14.45" customHeight="1">
      <c r="B38" s="51"/>
      <c r="C38" s="52"/>
      <c r="D38" s="52"/>
      <c r="E38" s="52"/>
      <c r="F38" s="52"/>
      <c r="G38" s="52"/>
      <c r="H38" s="52"/>
      <c r="I38" s="52"/>
      <c r="J38" s="52"/>
      <c r="K38" s="53"/>
    </row>
    <row r="42" spans="2:11" s="1" customFormat="1" ht="6.95" customHeight="1">
      <c r="B42" s="54"/>
      <c r="C42" s="55"/>
      <c r="D42" s="55"/>
      <c r="E42" s="55"/>
      <c r="F42" s="55"/>
      <c r="G42" s="55"/>
      <c r="H42" s="55"/>
      <c r="I42" s="55"/>
      <c r="J42" s="55"/>
      <c r="K42" s="107"/>
    </row>
    <row r="43" spans="2:11" s="1" customFormat="1" ht="36.950000000000003" customHeight="1">
      <c r="B43" s="39"/>
      <c r="C43" s="31" t="s">
        <v>48</v>
      </c>
      <c r="K43" s="42"/>
    </row>
    <row r="44" spans="2:11" s="1" customFormat="1" ht="6.95" customHeight="1">
      <c r="B44" s="39"/>
      <c r="K44" s="42"/>
    </row>
    <row r="45" spans="2:11" s="1" customFormat="1" ht="14.45" customHeight="1">
      <c r="B45" s="39"/>
      <c r="C45" s="35" t="s">
        <v>5</v>
      </c>
      <c r="K45" s="42"/>
    </row>
    <row r="46" spans="2:11" s="1" customFormat="1" ht="22.5" customHeight="1">
      <c r="B46" s="39"/>
      <c r="E46" s="423" t="str">
        <f>E7</f>
        <v>Realizace výtahu a rekonstrukce navazujících prostor interiéru budovy Městského úřadu Smržovka</v>
      </c>
      <c r="F46" s="375"/>
      <c r="G46" s="375"/>
      <c r="H46" s="375"/>
      <c r="K46" s="42"/>
    </row>
    <row r="47" spans="2:11" s="1" customFormat="1" ht="14.45" customHeight="1">
      <c r="B47" s="39"/>
      <c r="C47" s="35" t="s">
        <v>47</v>
      </c>
      <c r="K47" s="42"/>
    </row>
    <row r="48" spans="2:11" s="1" customFormat="1" ht="23.25" customHeight="1">
      <c r="B48" s="39"/>
      <c r="E48" s="382" t="str">
        <f>E9</f>
        <v>IO 04 - Elektro přípojka</v>
      </c>
      <c r="F48" s="375"/>
      <c r="G48" s="375"/>
      <c r="H48" s="375"/>
      <c r="K48" s="42"/>
    </row>
    <row r="49" spans="2:11" s="1" customFormat="1" ht="6.95" customHeight="1">
      <c r="B49" s="39"/>
      <c r="K49" s="42"/>
    </row>
    <row r="50" spans="2:11" s="1" customFormat="1" ht="18" customHeight="1">
      <c r="B50" s="39"/>
      <c r="C50" s="35" t="s">
        <v>10</v>
      </c>
      <c r="F50" s="36" t="str">
        <f>F12</f>
        <v>č.p. 600, st.p.č. 1/1, k.ú. Smržovka [751324]</v>
      </c>
      <c r="I50" s="35" t="s">
        <v>11</v>
      </c>
      <c r="J50" s="92">
        <f>IF(J12="","",J12)</f>
        <v>45743</v>
      </c>
      <c r="K50" s="42"/>
    </row>
    <row r="51" spans="2:11" s="1" customFormat="1" ht="6.95" customHeight="1">
      <c r="B51" s="39"/>
      <c r="K51" s="42"/>
    </row>
    <row r="52" spans="2:11" s="1" customFormat="1" ht="15">
      <c r="B52" s="39"/>
      <c r="C52" s="35" t="s">
        <v>12</v>
      </c>
      <c r="F52" s="36" t="str">
        <f>E15</f>
        <v>Město Smržovka, nám. T.G.Masaryka č.p. 600, Smržovka, PSČ 46851</v>
      </c>
      <c r="I52" s="35" t="s">
        <v>17</v>
      </c>
      <c r="J52" s="36" t="str">
        <f>E21</f>
        <v>LHOTA - STAVITELSTVÍ</v>
      </c>
      <c r="K52" s="42"/>
    </row>
    <row r="53" spans="2:11" s="1" customFormat="1" ht="14.45" customHeight="1">
      <c r="B53" s="39"/>
      <c r="C53" s="35" t="s">
        <v>15</v>
      </c>
      <c r="F53" s="36" t="str">
        <f>IF(E18="","",E18)</f>
        <v xml:space="preserve"> </v>
      </c>
      <c r="K53" s="42"/>
    </row>
    <row r="54" spans="2:11" s="1" customFormat="1" ht="10.35" customHeight="1">
      <c r="B54" s="39"/>
      <c r="K54" s="42"/>
    </row>
    <row r="55" spans="2:11" s="1" customFormat="1" ht="29.25" customHeight="1">
      <c r="B55" s="39"/>
      <c r="C55" s="108" t="s">
        <v>49</v>
      </c>
      <c r="D55" s="101"/>
      <c r="E55" s="101"/>
      <c r="F55" s="101"/>
      <c r="G55" s="101"/>
      <c r="H55" s="101"/>
      <c r="I55" s="101"/>
      <c r="J55" s="109" t="s">
        <v>50</v>
      </c>
      <c r="K55" s="110"/>
    </row>
    <row r="56" spans="2:11" s="1" customFormat="1" ht="10.35" customHeight="1">
      <c r="B56" s="39"/>
      <c r="K56" s="42"/>
    </row>
    <row r="57" spans="2:11" s="1" customFormat="1" ht="29.25" customHeight="1">
      <c r="B57" s="39"/>
      <c r="C57" s="111" t="s">
        <v>51</v>
      </c>
      <c r="J57" s="97">
        <f>J79</f>
        <v>0</v>
      </c>
      <c r="K57" s="42"/>
    </row>
    <row r="58" spans="2:11" s="7" customFormat="1" ht="24.95" customHeight="1">
      <c r="B58" s="112"/>
      <c r="D58" s="113" t="s">
        <v>75</v>
      </c>
      <c r="E58" s="114"/>
      <c r="F58" s="114"/>
      <c r="G58" s="114"/>
      <c r="H58" s="114"/>
      <c r="I58" s="114"/>
      <c r="J58" s="115">
        <f>J80</f>
        <v>0</v>
      </c>
      <c r="K58" s="116"/>
    </row>
    <row r="59" spans="2:11" s="8" customFormat="1" ht="19.899999999999999" customHeight="1">
      <c r="B59" s="117"/>
      <c r="D59" s="118" t="s">
        <v>53</v>
      </c>
      <c r="E59" s="119"/>
      <c r="F59" s="119"/>
      <c r="G59" s="119"/>
      <c r="H59" s="119"/>
      <c r="I59" s="119"/>
      <c r="J59" s="120">
        <f>J81</f>
        <v>0</v>
      </c>
      <c r="K59" s="121"/>
    </row>
    <row r="60" spans="2:11" s="1" customFormat="1" ht="21.75" customHeight="1">
      <c r="B60" s="39"/>
      <c r="K60" s="42"/>
    </row>
    <row r="61" spans="2:11" s="1" customFormat="1" ht="6.95" customHeight="1">
      <c r="B61" s="51"/>
      <c r="C61" s="52"/>
      <c r="D61" s="52"/>
      <c r="E61" s="52"/>
      <c r="F61" s="52"/>
      <c r="G61" s="52"/>
      <c r="H61" s="52"/>
      <c r="I61" s="52"/>
      <c r="J61" s="52"/>
      <c r="K61" s="53"/>
    </row>
    <row r="65" spans="2:11" s="1" customFormat="1" ht="6.95" customHeight="1">
      <c r="B65" s="54"/>
      <c r="C65" s="55"/>
      <c r="D65" s="55"/>
      <c r="E65" s="55"/>
      <c r="F65" s="55"/>
      <c r="G65" s="55"/>
      <c r="H65" s="55"/>
      <c r="I65" s="55"/>
      <c r="J65" s="55"/>
      <c r="K65" s="55"/>
    </row>
    <row r="66" spans="2:11" s="1" customFormat="1" ht="36.950000000000003" customHeight="1">
      <c r="B66" s="39"/>
      <c r="C66" s="31" t="s">
        <v>54</v>
      </c>
    </row>
    <row r="67" spans="2:11" s="1" customFormat="1" ht="6.95" customHeight="1">
      <c r="B67" s="39"/>
    </row>
    <row r="68" spans="2:11" s="1" customFormat="1" ht="14.45" customHeight="1">
      <c r="B68" s="39"/>
      <c r="C68" s="35" t="s">
        <v>5</v>
      </c>
    </row>
    <row r="69" spans="2:11" s="1" customFormat="1" ht="22.5" customHeight="1">
      <c r="B69" s="39"/>
      <c r="E69" s="423" t="str">
        <f>E7</f>
        <v>Realizace výtahu a rekonstrukce navazujících prostor interiéru budovy Městského úřadu Smržovka</v>
      </c>
      <c r="F69" s="375"/>
      <c r="G69" s="375"/>
      <c r="H69" s="375"/>
    </row>
    <row r="70" spans="2:11" s="1" customFormat="1" ht="14.45" customHeight="1">
      <c r="B70" s="39"/>
      <c r="C70" s="35" t="s">
        <v>47</v>
      </c>
    </row>
    <row r="71" spans="2:11" s="1" customFormat="1" ht="23.25" customHeight="1">
      <c r="B71" s="39"/>
      <c r="E71" s="382" t="str">
        <f>E9</f>
        <v>IO 04 - Elektro přípojka</v>
      </c>
      <c r="F71" s="375"/>
      <c r="G71" s="375"/>
      <c r="H71" s="375"/>
    </row>
    <row r="72" spans="2:11" s="1" customFormat="1" ht="6.95" customHeight="1">
      <c r="B72" s="39"/>
    </row>
    <row r="73" spans="2:11" s="1" customFormat="1" ht="18" customHeight="1">
      <c r="B73" s="39"/>
      <c r="C73" s="35" t="s">
        <v>10</v>
      </c>
      <c r="F73" s="36" t="str">
        <f>F12</f>
        <v>č.p. 600, st.p.č. 1/1, k.ú. Smržovka [751324]</v>
      </c>
      <c r="I73" s="35" t="s">
        <v>11</v>
      </c>
      <c r="J73" s="92">
        <f>IF(J12="","",J12)</f>
        <v>45743</v>
      </c>
    </row>
    <row r="74" spans="2:11" s="1" customFormat="1" ht="6.95" customHeight="1">
      <c r="B74" s="39"/>
    </row>
    <row r="75" spans="2:11" s="1" customFormat="1" ht="15">
      <c r="B75" s="39"/>
      <c r="C75" s="35" t="s">
        <v>12</v>
      </c>
      <c r="F75" s="36" t="str">
        <f>E15</f>
        <v>Město Smržovka, nám. T.G.Masaryka č.p. 600, Smržovka, PSČ 46851</v>
      </c>
      <c r="I75" s="35" t="s">
        <v>17</v>
      </c>
      <c r="J75" s="36" t="str">
        <f>E21</f>
        <v>LHOTA - STAVITELSTVÍ</v>
      </c>
    </row>
    <row r="76" spans="2:11" s="1" customFormat="1" ht="14.45" customHeight="1">
      <c r="B76" s="39"/>
      <c r="C76" s="35" t="s">
        <v>15</v>
      </c>
      <c r="F76" s="36" t="str">
        <f>IF(E18="","",E18)</f>
        <v xml:space="preserve"> </v>
      </c>
    </row>
    <row r="77" spans="2:11" s="1" customFormat="1" ht="10.35" customHeight="1">
      <c r="B77" s="39"/>
    </row>
    <row r="78" spans="2:11" s="9" customFormat="1" ht="29.25" customHeight="1">
      <c r="B78" s="122"/>
      <c r="C78" s="123" t="s">
        <v>55</v>
      </c>
      <c r="D78" s="124" t="s">
        <v>37</v>
      </c>
      <c r="E78" s="124" t="s">
        <v>33</v>
      </c>
      <c r="F78" s="124" t="s">
        <v>56</v>
      </c>
      <c r="G78" s="124" t="s">
        <v>57</v>
      </c>
      <c r="H78" s="124" t="s">
        <v>58</v>
      </c>
      <c r="I78" s="125" t="s">
        <v>59</v>
      </c>
      <c r="J78" s="124" t="s">
        <v>50</v>
      </c>
      <c r="K78" s="126" t="s">
        <v>60</v>
      </c>
    </row>
    <row r="79" spans="2:11" s="1" customFormat="1" ht="29.25" customHeight="1">
      <c r="B79" s="39"/>
      <c r="C79" s="64" t="s">
        <v>51</v>
      </c>
      <c r="J79" s="127">
        <f>J80</f>
        <v>0</v>
      </c>
    </row>
    <row r="80" spans="2:11" s="10" customFormat="1" ht="24" customHeight="1">
      <c r="B80" s="128"/>
      <c r="D80" s="129" t="s">
        <v>39</v>
      </c>
      <c r="E80" s="130" t="s">
        <v>206</v>
      </c>
      <c r="F80" s="130" t="s">
        <v>207</v>
      </c>
      <c r="J80" s="131">
        <f>J81</f>
        <v>0</v>
      </c>
    </row>
    <row r="81" spans="2:11" s="10" customFormat="1" ht="19.899999999999999" customHeight="1">
      <c r="B81" s="128"/>
      <c r="D81" s="129" t="s">
        <v>39</v>
      </c>
      <c r="E81" s="133">
        <v>3</v>
      </c>
      <c r="F81" s="133" t="s">
        <v>975</v>
      </c>
      <c r="J81" s="134">
        <f>SUM(J82:J82)</f>
        <v>0</v>
      </c>
    </row>
    <row r="82" spans="2:11" s="1" customFormat="1" ht="22.5" customHeight="1">
      <c r="B82" s="39"/>
      <c r="C82" s="135">
        <v>1</v>
      </c>
      <c r="D82" s="135"/>
      <c r="E82" s="136"/>
      <c r="F82" s="137" t="s">
        <v>2293</v>
      </c>
      <c r="G82" s="138"/>
      <c r="H82" s="139">
        <v>0</v>
      </c>
      <c r="I82" s="90"/>
      <c r="J82" s="140">
        <f>ROUND(I82*H82,2)</f>
        <v>0</v>
      </c>
      <c r="K82" s="137"/>
    </row>
    <row r="83" spans="2:11" s="1" customFormat="1" ht="6.95" customHeight="1">
      <c r="B83" s="51"/>
      <c r="C83" s="52"/>
      <c r="D83" s="52"/>
      <c r="E83" s="52"/>
      <c r="F83" s="52"/>
      <c r="G83" s="52"/>
      <c r="H83" s="52"/>
      <c r="I83" s="52"/>
      <c r="J83" s="52"/>
      <c r="K83" s="52"/>
    </row>
    <row r="87" spans="2:11" ht="27.75">
      <c r="F87" s="302"/>
    </row>
    <row r="92" spans="2:11">
      <c r="I92" s="87" t="s">
        <v>636</v>
      </c>
      <c r="J92" s="88">
        <f>SUM(J79:J82)/4</f>
        <v>0</v>
      </c>
      <c r="K92" s="89"/>
    </row>
    <row r="93" spans="2:11">
      <c r="I93" s="87" t="s">
        <v>637</v>
      </c>
      <c r="J93" s="88">
        <f>SUM(J57:J60)/3</f>
        <v>0</v>
      </c>
      <c r="K93" s="89"/>
    </row>
    <row r="94" spans="2:11">
      <c r="I94" s="87" t="s">
        <v>638</v>
      </c>
      <c r="J94" s="88">
        <f>J92-J93</f>
        <v>0</v>
      </c>
      <c r="K94" s="87" t="s">
        <v>639</v>
      </c>
    </row>
  </sheetData>
  <sheetProtection algorithmName="SHA-512" hashValue="D30GijxnS4g2UQI1+Qx1dmojFVFai3Ef2bif4Xdr6FBjDa0lCmmFukfNBPF3Uj1qxQIFF5nmY0XzCtNwM4YIUQ==" saltValue="kZwde9HJNgrbTbB6reTVrg==" spinCount="100000" sheet="1" objects="1" scenarios="1"/>
  <autoFilter ref="C78:K78" xr:uid="{00000000-0009-0000-0000-000001000000}"/>
  <mergeCells count="8">
    <mergeCell ref="E69:H69"/>
    <mergeCell ref="E71:H71"/>
    <mergeCell ref="G1:H1"/>
    <mergeCell ref="E7:H7"/>
    <mergeCell ref="E9:H9"/>
    <mergeCell ref="E25:H25"/>
    <mergeCell ref="E46:H46"/>
    <mergeCell ref="E48:H48"/>
  </mergeCells>
  <hyperlinks>
    <hyperlink ref="F1:G1" location="C2" tooltip="Krycí list soupisu" display="1) Krycí list soupisu" xr:uid="{A02D3115-1855-476A-811A-A8C795A17F64}"/>
    <hyperlink ref="G1:H1" location="C54" tooltip="Rekapitulace" display="2) Rekapitulace" xr:uid="{CE775D75-C617-41FC-9ECA-19FFAC42B9FA}"/>
    <hyperlink ref="J1" location="C77" tooltip="Soupis prací" display="3) Soupis prací" xr:uid="{66C75FE3-59BC-4B11-BC3B-B3CFD2E77B48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0C74A-0401-40A6-910E-28F98868CA63}">
  <sheetPr>
    <pageSetUpPr fitToPage="1"/>
  </sheetPr>
  <dimension ref="A1:O94"/>
  <sheetViews>
    <sheetView showGridLines="0" view="pageBreakPreview" topLeftCell="B1" zoomScaleNormal="100" zoomScaleSheetLayoutView="100" workbookViewId="0">
      <pane ySplit="1" topLeftCell="A56" activePane="bottomLeft" state="frozen"/>
      <selection activeCell="P8" sqref="P8"/>
      <selection pane="bottomLeft" activeCell="I82" sqref="I82"/>
    </sheetView>
  </sheetViews>
  <sheetFormatPr defaultRowHeight="13.5"/>
  <cols>
    <col min="1" max="1" width="8.33203125" hidden="1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4.5" customWidth="1"/>
    <col min="10" max="10" width="23.5" customWidth="1"/>
    <col min="11" max="11" width="15.5" customWidth="1"/>
    <col min="13" max="26" width="0" hidden="1" customWidth="1"/>
  </cols>
  <sheetData>
    <row r="1" spans="1:15" ht="21.75" hidden="1" customHeight="1">
      <c r="A1" s="15"/>
      <c r="B1" s="19"/>
      <c r="C1" s="19"/>
      <c r="D1" s="20" t="s">
        <v>1</v>
      </c>
      <c r="E1" s="19"/>
      <c r="F1" s="18" t="s">
        <v>308</v>
      </c>
      <c r="G1" s="424" t="s">
        <v>309</v>
      </c>
      <c r="H1" s="424"/>
      <c r="I1" s="19"/>
      <c r="J1" s="18" t="s">
        <v>310</v>
      </c>
      <c r="K1" s="20" t="s">
        <v>45</v>
      </c>
    </row>
    <row r="2" spans="1:15" ht="36.950000000000003" hidden="1" customHeight="1"/>
    <row r="3" spans="1:15" ht="6.95" customHeight="1">
      <c r="B3" s="27"/>
      <c r="C3" s="28"/>
      <c r="D3" s="28"/>
      <c r="E3" s="28"/>
      <c r="F3" s="28"/>
      <c r="G3" s="28"/>
      <c r="H3" s="28"/>
      <c r="I3" s="28"/>
      <c r="J3" s="28"/>
      <c r="K3" s="29"/>
    </row>
    <row r="4" spans="1:15" ht="36.950000000000003" customHeight="1">
      <c r="B4" s="30"/>
      <c r="D4" s="31" t="s">
        <v>46</v>
      </c>
      <c r="K4" s="32"/>
      <c r="M4" s="302"/>
      <c r="O4" s="302"/>
    </row>
    <row r="5" spans="1:15" ht="6.95" customHeight="1">
      <c r="B5" s="30"/>
      <c r="K5" s="32"/>
    </row>
    <row r="6" spans="1:15" ht="15">
      <c r="B6" s="30"/>
      <c r="D6" s="35" t="s">
        <v>5</v>
      </c>
      <c r="K6" s="32"/>
    </row>
    <row r="7" spans="1:15" ht="22.5" customHeight="1">
      <c r="B7" s="30"/>
      <c r="E7" s="423" t="str">
        <f>'Rekapitulace stavby'!K6</f>
        <v>Realizace výtahu a rekonstrukce navazujících prostor interiéru budovy Městského úřadu Smržovka</v>
      </c>
      <c r="F7" s="370"/>
      <c r="G7" s="370"/>
      <c r="H7" s="370"/>
      <c r="K7" s="32"/>
    </row>
    <row r="8" spans="1:15" s="1" customFormat="1" ht="15">
      <c r="B8" s="39"/>
      <c r="D8" s="35" t="s">
        <v>47</v>
      </c>
      <c r="K8" s="42"/>
    </row>
    <row r="9" spans="1:15" s="1" customFormat="1" ht="36.950000000000003" customHeight="1">
      <c r="B9" s="39"/>
      <c r="E9" s="382" t="s">
        <v>976</v>
      </c>
      <c r="F9" s="375"/>
      <c r="G9" s="375"/>
      <c r="H9" s="375"/>
      <c r="K9" s="42"/>
    </row>
    <row r="10" spans="1:15" s="1" customFormat="1">
      <c r="B10" s="39"/>
      <c r="K10" s="42"/>
    </row>
    <row r="11" spans="1:15" s="1" customFormat="1" ht="14.45" customHeight="1">
      <c r="B11" s="39"/>
      <c r="D11" s="35" t="s">
        <v>6</v>
      </c>
      <c r="F11" s="36" t="s">
        <v>7</v>
      </c>
      <c r="I11" s="35" t="s">
        <v>8</v>
      </c>
      <c r="J11" s="36" t="s">
        <v>2</v>
      </c>
      <c r="K11" s="42"/>
    </row>
    <row r="12" spans="1:15" s="1" customFormat="1" ht="14.45" customHeight="1">
      <c r="B12" s="39"/>
      <c r="D12" s="35" t="s">
        <v>10</v>
      </c>
      <c r="F12" s="36" t="str">
        <f>'Rekapitulace stavby'!L45</f>
        <v>č.p. 600, st.p.č. 1/1, k.ú. Smržovka [751324]</v>
      </c>
      <c r="I12" s="35" t="s">
        <v>11</v>
      </c>
      <c r="J12" s="92">
        <f>'Rekapitulace stavby'!AN8</f>
        <v>45743</v>
      </c>
      <c r="K12" s="42"/>
    </row>
    <row r="13" spans="1:15" s="1" customFormat="1" ht="10.9" customHeight="1">
      <c r="B13" s="39"/>
      <c r="K13" s="42"/>
    </row>
    <row r="14" spans="1:15" s="1" customFormat="1" ht="14.45" customHeight="1">
      <c r="B14" s="39"/>
      <c r="D14" s="35" t="s">
        <v>12</v>
      </c>
      <c r="I14" s="35" t="s">
        <v>13</v>
      </c>
      <c r="J14" s="36" t="str">
        <f>'Rekapitulace stavby'!AN10</f>
        <v>002 62 579</v>
      </c>
      <c r="K14" s="42"/>
    </row>
    <row r="15" spans="1:15" s="1" customFormat="1" ht="18" customHeight="1">
      <c r="B15" s="39"/>
      <c r="E15" s="36" t="str">
        <f>'Rekapitulace stavby'!E11</f>
        <v>Město Smržovka, nám. T.G.Masaryka č.p. 600, Smržovka, PSČ 46851</v>
      </c>
      <c r="I15" s="35" t="s">
        <v>14</v>
      </c>
      <c r="J15" s="36" t="str">
        <f>'Rekapitulace stavby'!AN11</f>
        <v>CZ00262579</v>
      </c>
      <c r="K15" s="42"/>
    </row>
    <row r="16" spans="1:15" s="1" customFormat="1" ht="6.95" customHeight="1">
      <c r="B16" s="39"/>
      <c r="K16" s="42"/>
    </row>
    <row r="17" spans="2:11" s="1" customFormat="1" ht="14.45" customHeight="1">
      <c r="B17" s="39"/>
      <c r="D17" s="35" t="s">
        <v>15</v>
      </c>
      <c r="I17" s="35" t="s">
        <v>13</v>
      </c>
      <c r="J17" s="36" t="str">
        <f>IF('Rekapitulace stavby'!AN13="Vyplň údaj","",IF('Rekapitulace stavby'!AN13="","",'Rekapitulace stavby'!AN13))</f>
        <v/>
      </c>
      <c r="K17" s="42"/>
    </row>
    <row r="18" spans="2:11" s="1" customFormat="1" ht="18" customHeight="1">
      <c r="B18" s="39"/>
      <c r="E18" s="36" t="str">
        <f>IF('Rekapitulace stavby'!E14="Vyplň údaj","",IF('Rekapitulace stavby'!E14="","",'Rekapitulace stavby'!E14))</f>
        <v xml:space="preserve"> </v>
      </c>
      <c r="I18" s="35" t="s">
        <v>14</v>
      </c>
      <c r="J18" s="36" t="str">
        <f>IF('Rekapitulace stavby'!AN14="Vyplň údaj","",IF('Rekapitulace stavby'!AN14="","",'Rekapitulace stavby'!AN14))</f>
        <v/>
      </c>
      <c r="K18" s="42"/>
    </row>
    <row r="19" spans="2:11" s="1" customFormat="1" ht="6.95" customHeight="1">
      <c r="B19" s="39"/>
      <c r="K19" s="42"/>
    </row>
    <row r="20" spans="2:11" s="1" customFormat="1" ht="14.45" customHeight="1">
      <c r="B20" s="39"/>
      <c r="D20" s="35" t="s">
        <v>17</v>
      </c>
      <c r="I20" s="35" t="s">
        <v>13</v>
      </c>
      <c r="J20" s="36" t="str">
        <f>'Rekapitulace stavby'!AN16</f>
        <v>120 45 357</v>
      </c>
      <c r="K20" s="42"/>
    </row>
    <row r="21" spans="2:11" s="1" customFormat="1" ht="18" customHeight="1">
      <c r="B21" s="39"/>
      <c r="E21" s="36" t="str">
        <f>'Rekapitulace stavby'!E17</f>
        <v>LHOTA - STAVITELSTVÍ</v>
      </c>
      <c r="I21" s="35" t="s">
        <v>14</v>
      </c>
      <c r="J21" s="36" t="s">
        <v>2</v>
      </c>
      <c r="K21" s="42"/>
    </row>
    <row r="22" spans="2:11" s="1" customFormat="1" ht="15">
      <c r="B22" s="39"/>
      <c r="E22" s="36" t="str">
        <f>'Rekapitulace stavby'!E18</f>
        <v>sdružení osob Bohumil Lhota a Ing. Vít Lhota, sídlo: Zásada 311, PSČ 46825</v>
      </c>
      <c r="I22" s="35"/>
      <c r="J22" s="36"/>
      <c r="K22" s="42"/>
    </row>
    <row r="23" spans="2:11" s="1" customFormat="1" ht="15">
      <c r="B23" s="39"/>
      <c r="E23" s="299" t="str">
        <f>'Rekapitulace stavby'!E19</f>
        <v>ateliér: Smetanova 1809/82, Jablonec nad Nisou, PSČ 46601</v>
      </c>
      <c r="K23" s="42"/>
    </row>
    <row r="24" spans="2:11" s="1" customFormat="1" ht="14.45" customHeight="1">
      <c r="B24" s="39"/>
      <c r="D24" s="35" t="s">
        <v>18</v>
      </c>
      <c r="K24" s="42"/>
    </row>
    <row r="25" spans="2:11" s="6" customFormat="1" ht="22.5" customHeight="1">
      <c r="B25" s="93"/>
      <c r="E25" s="371" t="str">
        <f>'Rekapitulace stavby'!E21:AN21</f>
        <v>Provedeno na základě předložené dokumentace "DSJ".</v>
      </c>
      <c r="F25" s="427"/>
      <c r="G25" s="427"/>
      <c r="H25" s="427"/>
      <c r="K25" s="94"/>
    </row>
    <row r="26" spans="2:11" s="1" customFormat="1" ht="6.95" customHeight="1">
      <c r="B26" s="39"/>
      <c r="K26" s="42"/>
    </row>
    <row r="27" spans="2:11" s="1" customFormat="1" ht="6.95" customHeight="1">
      <c r="B27" s="39"/>
      <c r="D27" s="61"/>
      <c r="E27" s="61"/>
      <c r="F27" s="61"/>
      <c r="G27" s="61"/>
      <c r="H27" s="61"/>
      <c r="I27" s="61"/>
      <c r="J27" s="61"/>
      <c r="K27" s="95"/>
    </row>
    <row r="28" spans="2:11" s="1" customFormat="1" ht="25.35" customHeight="1">
      <c r="B28" s="39"/>
      <c r="D28" s="96" t="s">
        <v>19</v>
      </c>
      <c r="J28" s="97">
        <f>ROUND(J79,2)</f>
        <v>0</v>
      </c>
      <c r="K28" s="42"/>
    </row>
    <row r="29" spans="2:11" s="1" customFormat="1" ht="6.95" customHeight="1">
      <c r="B29" s="39"/>
      <c r="D29" s="61"/>
      <c r="E29" s="61"/>
      <c r="F29" s="61"/>
      <c r="G29" s="61"/>
      <c r="H29" s="61"/>
      <c r="I29" s="61"/>
      <c r="J29" s="61"/>
      <c r="K29" s="95"/>
    </row>
    <row r="30" spans="2:11" s="1" customFormat="1" ht="14.45" customHeight="1">
      <c r="B30" s="39"/>
      <c r="F30" s="98" t="s">
        <v>21</v>
      </c>
      <c r="I30" s="98" t="s">
        <v>20</v>
      </c>
      <c r="J30" s="98" t="s">
        <v>22</v>
      </c>
      <c r="K30" s="42"/>
    </row>
    <row r="31" spans="2:11" s="1" customFormat="1" ht="14.45" customHeight="1">
      <c r="B31" s="39"/>
      <c r="D31" s="44" t="s">
        <v>23</v>
      </c>
      <c r="E31" s="44" t="s">
        <v>24</v>
      </c>
      <c r="F31" s="99">
        <f>ROUND(SUM(J28), 2)</f>
        <v>0</v>
      </c>
      <c r="I31" s="100">
        <v>0.21</v>
      </c>
      <c r="J31" s="99">
        <f>ROUND(ROUND((SUM(F31)), 2)*I31, 2)</f>
        <v>0</v>
      </c>
      <c r="K31" s="42"/>
    </row>
    <row r="32" spans="2:11" s="1" customFormat="1" ht="14.45" customHeight="1">
      <c r="B32" s="39"/>
      <c r="E32" s="44" t="s">
        <v>25</v>
      </c>
      <c r="F32" s="99">
        <v>0</v>
      </c>
      <c r="I32" s="100">
        <v>0.15</v>
      </c>
      <c r="J32" s="99">
        <f>ROUND(ROUND((SUM(F32)), 2)*I32, 2)</f>
        <v>0</v>
      </c>
      <c r="K32" s="42"/>
    </row>
    <row r="33" spans="2:11" s="1" customFormat="1" ht="14.45" hidden="1" customHeight="1">
      <c r="B33" s="39"/>
      <c r="E33" s="44" t="s">
        <v>26</v>
      </c>
      <c r="F33" s="99" t="e">
        <f>ROUND(SUM(#REF!), 2)</f>
        <v>#REF!</v>
      </c>
      <c r="I33" s="100">
        <v>0.21</v>
      </c>
      <c r="J33" s="99">
        <v>0</v>
      </c>
      <c r="K33" s="42"/>
    </row>
    <row r="34" spans="2:11" s="1" customFormat="1" ht="14.45" hidden="1" customHeight="1">
      <c r="B34" s="39"/>
      <c r="E34" s="44" t="s">
        <v>27</v>
      </c>
      <c r="F34" s="99" t="e">
        <f>ROUND(SUM(#REF!), 2)</f>
        <v>#REF!</v>
      </c>
      <c r="I34" s="100">
        <v>0.15</v>
      </c>
      <c r="J34" s="99">
        <v>0</v>
      </c>
      <c r="K34" s="42"/>
    </row>
    <row r="35" spans="2:11" s="1" customFormat="1" ht="14.45" hidden="1" customHeight="1">
      <c r="B35" s="39"/>
      <c r="E35" s="44" t="s">
        <v>28</v>
      </c>
      <c r="F35" s="99" t="e">
        <f>ROUND(SUM(#REF!), 2)</f>
        <v>#REF!</v>
      </c>
      <c r="I35" s="100">
        <v>0</v>
      </c>
      <c r="J35" s="99">
        <v>0</v>
      </c>
      <c r="K35" s="42"/>
    </row>
    <row r="36" spans="2:11" s="1" customFormat="1" ht="6.95" customHeight="1">
      <c r="B36" s="39"/>
      <c r="K36" s="42"/>
    </row>
    <row r="37" spans="2:11" s="1" customFormat="1" ht="25.35" customHeight="1">
      <c r="B37" s="39"/>
      <c r="C37" s="101"/>
      <c r="D37" s="102" t="s">
        <v>29</v>
      </c>
      <c r="E37" s="62"/>
      <c r="F37" s="62"/>
      <c r="G37" s="103" t="s">
        <v>30</v>
      </c>
      <c r="H37" s="104" t="s">
        <v>31</v>
      </c>
      <c r="I37" s="62"/>
      <c r="J37" s="105">
        <f>SUM(J28:J35)</f>
        <v>0</v>
      </c>
      <c r="K37" s="106"/>
    </row>
    <row r="38" spans="2:11" s="1" customFormat="1" ht="14.45" customHeight="1">
      <c r="B38" s="51"/>
      <c r="C38" s="52"/>
      <c r="D38" s="52"/>
      <c r="E38" s="52"/>
      <c r="F38" s="52"/>
      <c r="G38" s="52"/>
      <c r="H38" s="52"/>
      <c r="I38" s="52"/>
      <c r="J38" s="52"/>
      <c r="K38" s="53"/>
    </row>
    <row r="42" spans="2:11" s="1" customFormat="1" ht="6.95" customHeight="1">
      <c r="B42" s="54"/>
      <c r="C42" s="55"/>
      <c r="D42" s="55"/>
      <c r="E42" s="55"/>
      <c r="F42" s="55"/>
      <c r="G42" s="55"/>
      <c r="H42" s="55"/>
      <c r="I42" s="55"/>
      <c r="J42" s="55"/>
      <c r="K42" s="107"/>
    </row>
    <row r="43" spans="2:11" s="1" customFormat="1" ht="36.950000000000003" customHeight="1">
      <c r="B43" s="39"/>
      <c r="C43" s="31" t="s">
        <v>48</v>
      </c>
      <c r="K43" s="42"/>
    </row>
    <row r="44" spans="2:11" s="1" customFormat="1" ht="6.95" customHeight="1">
      <c r="B44" s="39"/>
      <c r="K44" s="42"/>
    </row>
    <row r="45" spans="2:11" s="1" customFormat="1" ht="14.45" customHeight="1">
      <c r="B45" s="39"/>
      <c r="C45" s="35" t="s">
        <v>5</v>
      </c>
      <c r="K45" s="42"/>
    </row>
    <row r="46" spans="2:11" s="1" customFormat="1" ht="22.5" customHeight="1">
      <c r="B46" s="39"/>
      <c r="E46" s="423" t="str">
        <f>E7</f>
        <v>Realizace výtahu a rekonstrukce navazujících prostor interiéru budovy Městského úřadu Smržovka</v>
      </c>
      <c r="F46" s="375"/>
      <c r="G46" s="375"/>
      <c r="H46" s="375"/>
      <c r="K46" s="42"/>
    </row>
    <row r="47" spans="2:11" s="1" customFormat="1" ht="14.45" customHeight="1">
      <c r="B47" s="39"/>
      <c r="C47" s="35" t="s">
        <v>47</v>
      </c>
      <c r="K47" s="42"/>
    </row>
    <row r="48" spans="2:11" s="1" customFormat="1" ht="23.25" customHeight="1">
      <c r="B48" s="39"/>
      <c r="E48" s="382" t="str">
        <f>E9</f>
        <v>IO 05 - Plynová přípojka</v>
      </c>
      <c r="F48" s="375"/>
      <c r="G48" s="375"/>
      <c r="H48" s="375"/>
      <c r="K48" s="42"/>
    </row>
    <row r="49" spans="2:11" s="1" customFormat="1" ht="6.95" customHeight="1">
      <c r="B49" s="39"/>
      <c r="K49" s="42"/>
    </row>
    <row r="50" spans="2:11" s="1" customFormat="1" ht="18" customHeight="1">
      <c r="B50" s="39"/>
      <c r="C50" s="35" t="s">
        <v>10</v>
      </c>
      <c r="F50" s="36" t="str">
        <f>F12</f>
        <v>č.p. 600, st.p.č. 1/1, k.ú. Smržovka [751324]</v>
      </c>
      <c r="I50" s="35" t="s">
        <v>11</v>
      </c>
      <c r="J50" s="92">
        <f>IF(J12="","",J12)</f>
        <v>45743</v>
      </c>
      <c r="K50" s="42"/>
    </row>
    <row r="51" spans="2:11" s="1" customFormat="1" ht="6.95" customHeight="1">
      <c r="B51" s="39"/>
      <c r="K51" s="42"/>
    </row>
    <row r="52" spans="2:11" s="1" customFormat="1" ht="15">
      <c r="B52" s="39"/>
      <c r="C52" s="35" t="s">
        <v>12</v>
      </c>
      <c r="F52" s="36" t="str">
        <f>E15</f>
        <v>Město Smržovka, nám. T.G.Masaryka č.p. 600, Smržovka, PSČ 46851</v>
      </c>
      <c r="I52" s="35" t="s">
        <v>17</v>
      </c>
      <c r="J52" s="36" t="str">
        <f>E21</f>
        <v>LHOTA - STAVITELSTVÍ</v>
      </c>
      <c r="K52" s="42"/>
    </row>
    <row r="53" spans="2:11" s="1" customFormat="1" ht="14.45" customHeight="1">
      <c r="B53" s="39"/>
      <c r="C53" s="35" t="s">
        <v>15</v>
      </c>
      <c r="F53" s="36" t="str">
        <f>IF(E18="","",E18)</f>
        <v xml:space="preserve"> </v>
      </c>
      <c r="K53" s="42"/>
    </row>
    <row r="54" spans="2:11" s="1" customFormat="1" ht="10.35" customHeight="1">
      <c r="B54" s="39"/>
      <c r="K54" s="42"/>
    </row>
    <row r="55" spans="2:11" s="1" customFormat="1" ht="29.25" customHeight="1">
      <c r="B55" s="39"/>
      <c r="C55" s="108" t="s">
        <v>49</v>
      </c>
      <c r="D55" s="101"/>
      <c r="E55" s="101"/>
      <c r="F55" s="101"/>
      <c r="G55" s="101"/>
      <c r="H55" s="101"/>
      <c r="I55" s="101"/>
      <c r="J55" s="109" t="s">
        <v>50</v>
      </c>
      <c r="K55" s="110"/>
    </row>
    <row r="56" spans="2:11" s="1" customFormat="1" ht="10.35" customHeight="1">
      <c r="B56" s="39"/>
      <c r="K56" s="42"/>
    </row>
    <row r="57" spans="2:11" s="1" customFormat="1" ht="29.25" customHeight="1">
      <c r="B57" s="39"/>
      <c r="C57" s="111" t="s">
        <v>51</v>
      </c>
      <c r="J57" s="97">
        <f>J79</f>
        <v>0</v>
      </c>
      <c r="K57" s="42"/>
    </row>
    <row r="58" spans="2:11" s="7" customFormat="1" ht="24.95" customHeight="1">
      <c r="B58" s="112"/>
      <c r="D58" s="113" t="s">
        <v>75</v>
      </c>
      <c r="E58" s="114"/>
      <c r="F58" s="114"/>
      <c r="G58" s="114"/>
      <c r="H58" s="114"/>
      <c r="I58" s="114"/>
      <c r="J58" s="115">
        <f>J80</f>
        <v>0</v>
      </c>
      <c r="K58" s="116"/>
    </row>
    <row r="59" spans="2:11" s="8" customFormat="1" ht="19.899999999999999" customHeight="1">
      <c r="B59" s="117"/>
      <c r="D59" s="118" t="s">
        <v>53</v>
      </c>
      <c r="E59" s="119"/>
      <c r="F59" s="119"/>
      <c r="G59" s="119"/>
      <c r="H59" s="119"/>
      <c r="I59" s="119"/>
      <c r="J59" s="120">
        <f>J81</f>
        <v>0</v>
      </c>
      <c r="K59" s="121"/>
    </row>
    <row r="60" spans="2:11" s="1" customFormat="1" ht="21.75" customHeight="1">
      <c r="B60" s="39"/>
      <c r="K60" s="42"/>
    </row>
    <row r="61" spans="2:11" s="1" customFormat="1" ht="6.95" customHeight="1">
      <c r="B61" s="51"/>
      <c r="C61" s="52"/>
      <c r="D61" s="52"/>
      <c r="E61" s="52"/>
      <c r="F61" s="52"/>
      <c r="G61" s="52"/>
      <c r="H61" s="52"/>
      <c r="I61" s="52"/>
      <c r="J61" s="52"/>
      <c r="K61" s="53"/>
    </row>
    <row r="65" spans="2:11" s="1" customFormat="1" ht="6.95" customHeight="1">
      <c r="B65" s="54"/>
      <c r="C65" s="55"/>
      <c r="D65" s="55"/>
      <c r="E65" s="55"/>
      <c r="F65" s="55"/>
      <c r="G65" s="55"/>
      <c r="H65" s="55"/>
      <c r="I65" s="55"/>
      <c r="J65" s="55"/>
      <c r="K65" s="55"/>
    </row>
    <row r="66" spans="2:11" s="1" customFormat="1" ht="36.950000000000003" customHeight="1">
      <c r="B66" s="39"/>
      <c r="C66" s="31" t="s">
        <v>54</v>
      </c>
    </row>
    <row r="67" spans="2:11" s="1" customFormat="1" ht="6.95" customHeight="1">
      <c r="B67" s="39"/>
    </row>
    <row r="68" spans="2:11" s="1" customFormat="1" ht="14.45" customHeight="1">
      <c r="B68" s="39"/>
      <c r="C68" s="35" t="s">
        <v>5</v>
      </c>
    </row>
    <row r="69" spans="2:11" s="1" customFormat="1" ht="22.5" customHeight="1">
      <c r="B69" s="39"/>
      <c r="E69" s="423" t="str">
        <f>E7</f>
        <v>Realizace výtahu a rekonstrukce navazujících prostor interiéru budovy Městského úřadu Smržovka</v>
      </c>
      <c r="F69" s="375"/>
      <c r="G69" s="375"/>
      <c r="H69" s="375"/>
    </row>
    <row r="70" spans="2:11" s="1" customFormat="1" ht="14.45" customHeight="1">
      <c r="B70" s="39"/>
      <c r="C70" s="35" t="s">
        <v>47</v>
      </c>
    </row>
    <row r="71" spans="2:11" s="1" customFormat="1" ht="23.25" customHeight="1">
      <c r="B71" s="39"/>
      <c r="E71" s="382" t="str">
        <f>E9</f>
        <v>IO 05 - Plynová přípojka</v>
      </c>
      <c r="F71" s="375"/>
      <c r="G71" s="375"/>
      <c r="H71" s="375"/>
    </row>
    <row r="72" spans="2:11" s="1" customFormat="1" ht="6.95" customHeight="1">
      <c r="B72" s="39"/>
    </row>
    <row r="73" spans="2:11" s="1" customFormat="1" ht="18" customHeight="1">
      <c r="B73" s="39"/>
      <c r="C73" s="35" t="s">
        <v>10</v>
      </c>
      <c r="F73" s="36" t="str">
        <f>F12</f>
        <v>č.p. 600, st.p.č. 1/1, k.ú. Smržovka [751324]</v>
      </c>
      <c r="I73" s="35" t="s">
        <v>11</v>
      </c>
      <c r="J73" s="92">
        <f>IF(J12="","",J12)</f>
        <v>45743</v>
      </c>
    </row>
    <row r="74" spans="2:11" s="1" customFormat="1" ht="6.95" customHeight="1">
      <c r="B74" s="39"/>
    </row>
    <row r="75" spans="2:11" s="1" customFormat="1" ht="15">
      <c r="B75" s="39"/>
      <c r="C75" s="35" t="s">
        <v>12</v>
      </c>
      <c r="F75" s="36" t="str">
        <f>E15</f>
        <v>Město Smržovka, nám. T.G.Masaryka č.p. 600, Smržovka, PSČ 46851</v>
      </c>
      <c r="I75" s="35" t="s">
        <v>17</v>
      </c>
      <c r="J75" s="36" t="str">
        <f>E21</f>
        <v>LHOTA - STAVITELSTVÍ</v>
      </c>
    </row>
    <row r="76" spans="2:11" s="1" customFormat="1" ht="14.45" customHeight="1">
      <c r="B76" s="39"/>
      <c r="C76" s="35" t="s">
        <v>15</v>
      </c>
      <c r="F76" s="36" t="str">
        <f>IF(E18="","",E18)</f>
        <v xml:space="preserve"> </v>
      </c>
    </row>
    <row r="77" spans="2:11" s="1" customFormat="1" ht="10.35" customHeight="1">
      <c r="B77" s="39"/>
    </row>
    <row r="78" spans="2:11" s="9" customFormat="1" ht="29.25" customHeight="1">
      <c r="B78" s="122"/>
      <c r="C78" s="123" t="s">
        <v>55</v>
      </c>
      <c r="D78" s="124" t="s">
        <v>37</v>
      </c>
      <c r="E78" s="124" t="s">
        <v>33</v>
      </c>
      <c r="F78" s="124" t="s">
        <v>56</v>
      </c>
      <c r="G78" s="124" t="s">
        <v>57</v>
      </c>
      <c r="H78" s="124" t="s">
        <v>58</v>
      </c>
      <c r="I78" s="125" t="s">
        <v>59</v>
      </c>
      <c r="J78" s="124" t="s">
        <v>50</v>
      </c>
      <c r="K78" s="126" t="s">
        <v>60</v>
      </c>
    </row>
    <row r="79" spans="2:11" s="1" customFormat="1" ht="29.25" customHeight="1">
      <c r="B79" s="39"/>
      <c r="C79" s="64" t="s">
        <v>51</v>
      </c>
      <c r="J79" s="127">
        <f>J80</f>
        <v>0</v>
      </c>
    </row>
    <row r="80" spans="2:11" s="10" customFormat="1" ht="24" customHeight="1">
      <c r="B80" s="128"/>
      <c r="D80" s="129" t="s">
        <v>39</v>
      </c>
      <c r="E80" s="130" t="s">
        <v>206</v>
      </c>
      <c r="F80" s="130" t="s">
        <v>207</v>
      </c>
      <c r="J80" s="131">
        <f>J81</f>
        <v>0</v>
      </c>
    </row>
    <row r="81" spans="2:11" s="10" customFormat="1" ht="19.899999999999999" customHeight="1">
      <c r="B81" s="128"/>
      <c r="D81" s="129" t="s">
        <v>39</v>
      </c>
      <c r="E81" s="133">
        <v>3</v>
      </c>
      <c r="F81" s="133" t="s">
        <v>977</v>
      </c>
      <c r="J81" s="134">
        <f>SUM(J82:J82)</f>
        <v>0</v>
      </c>
    </row>
    <row r="82" spans="2:11" s="1" customFormat="1" ht="22.5" customHeight="1">
      <c r="B82" s="39"/>
      <c r="C82" s="135">
        <v>1</v>
      </c>
      <c r="D82" s="135"/>
      <c r="E82" s="136"/>
      <c r="F82" s="137" t="s">
        <v>2293</v>
      </c>
      <c r="G82" s="138"/>
      <c r="H82" s="139">
        <v>0</v>
      </c>
      <c r="I82" s="90"/>
      <c r="J82" s="140">
        <f>ROUND(I82*H82,2)</f>
        <v>0</v>
      </c>
      <c r="K82" s="137"/>
    </row>
    <row r="83" spans="2:11" s="1" customFormat="1" ht="6.95" customHeight="1">
      <c r="B83" s="51"/>
      <c r="C83" s="52"/>
      <c r="D83" s="52"/>
      <c r="E83" s="52"/>
      <c r="F83" s="52"/>
      <c r="G83" s="52"/>
      <c r="H83" s="52"/>
      <c r="I83" s="52"/>
      <c r="J83" s="52"/>
      <c r="K83" s="52"/>
    </row>
    <row r="87" spans="2:11" ht="27.75">
      <c r="F87" s="302"/>
    </row>
    <row r="92" spans="2:11">
      <c r="I92" s="87" t="s">
        <v>636</v>
      </c>
      <c r="J92" s="88">
        <f>SUM(J79:J82)/4</f>
        <v>0</v>
      </c>
      <c r="K92" s="89"/>
    </row>
    <row r="93" spans="2:11">
      <c r="I93" s="87" t="s">
        <v>637</v>
      </c>
      <c r="J93" s="88">
        <f>SUM(J57:J60)/3</f>
        <v>0</v>
      </c>
      <c r="K93" s="89"/>
    </row>
    <row r="94" spans="2:11">
      <c r="I94" s="87" t="s">
        <v>638</v>
      </c>
      <c r="J94" s="88">
        <f>J92-J93</f>
        <v>0</v>
      </c>
      <c r="K94" s="87" t="s">
        <v>639</v>
      </c>
    </row>
  </sheetData>
  <sheetProtection algorithmName="SHA-512" hashValue="SqQb+moDfh7D6scJB3KJHt3lBYPPkJc8Bre28m0ItdUvTDh5V5ixhCY+oZ+H0KIecIN059LTDRJzf2tvkKMK1w==" saltValue="qHSoelcUVYLp/Y6HrNJ9Cw==" spinCount="100000" sheet="1" objects="1" scenarios="1"/>
  <autoFilter ref="C78:K78" xr:uid="{00000000-0009-0000-0000-000001000000}"/>
  <mergeCells count="8">
    <mergeCell ref="E69:H69"/>
    <mergeCell ref="E71:H71"/>
    <mergeCell ref="G1:H1"/>
    <mergeCell ref="E7:H7"/>
    <mergeCell ref="E9:H9"/>
    <mergeCell ref="E25:H25"/>
    <mergeCell ref="E46:H46"/>
    <mergeCell ref="E48:H48"/>
  </mergeCells>
  <hyperlinks>
    <hyperlink ref="F1:G1" location="C2" tooltip="Krycí list soupisu" display="1) Krycí list soupisu" xr:uid="{816410CC-239B-455D-8D20-438D73E60586}"/>
    <hyperlink ref="G1:H1" location="C54" tooltip="Rekapitulace" display="2) Rekapitulace" xr:uid="{995378C1-6589-4DDA-8C15-9A71B54371F4}"/>
    <hyperlink ref="J1" location="C77" tooltip="Soupis prací" display="3) Soupis prací" xr:uid="{3E333B1E-FE9D-47F8-85FA-6F7459B01E9D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7"/>
  <sheetViews>
    <sheetView showGridLines="0" view="pageBreakPreview" zoomScaleNormal="100" zoomScaleSheetLayoutView="100" workbookViewId="0">
      <selection activeCell="AG23" sqref="AG23"/>
    </sheetView>
  </sheetViews>
  <sheetFormatPr defaultRowHeight="13.5"/>
  <cols>
    <col min="1" max="1" width="8.33203125" style="21" customWidth="1"/>
    <col min="2" max="2" width="1.6640625" style="21" customWidth="1"/>
    <col min="3" max="4" width="5" style="21" customWidth="1"/>
    <col min="5" max="5" width="11.6640625" style="21" customWidth="1"/>
    <col min="6" max="6" width="9.1640625" style="21" customWidth="1"/>
    <col min="7" max="7" width="5" style="21" customWidth="1"/>
    <col min="8" max="8" width="77.83203125" style="21" customWidth="1"/>
    <col min="9" max="10" width="20" style="21" customWidth="1"/>
    <col min="11" max="11" width="1.6640625" style="21" customWidth="1"/>
    <col min="12" max="12" width="9.33203125" style="21"/>
    <col min="13" max="26" width="0" style="21" hidden="1" customWidth="1"/>
    <col min="27" max="33" width="9.33203125" style="21"/>
    <col min="34" max="34" width="8.33203125" style="21" customWidth="1"/>
    <col min="35" max="35" width="1.6640625" style="21" customWidth="1"/>
    <col min="36" max="37" width="5" style="21" customWidth="1"/>
    <col min="38" max="38" width="11.6640625" style="21" customWidth="1"/>
    <col min="39" max="39" width="9.1640625" style="21" customWidth="1"/>
    <col min="40" max="40" width="5" style="21" customWidth="1"/>
    <col min="41" max="41" width="77.83203125" style="21" customWidth="1"/>
    <col min="42" max="43" width="20" style="21" customWidth="1"/>
    <col min="44" max="44" width="1.6640625" style="21" customWidth="1"/>
    <col min="45" max="289" width="9.33203125" style="21"/>
    <col min="290" max="290" width="8.33203125" style="21" customWidth="1"/>
    <col min="291" max="291" width="1.6640625" style="21" customWidth="1"/>
    <col min="292" max="293" width="5" style="21" customWidth="1"/>
    <col min="294" max="294" width="11.6640625" style="21" customWidth="1"/>
    <col min="295" max="295" width="9.1640625" style="21" customWidth="1"/>
    <col min="296" max="296" width="5" style="21" customWidth="1"/>
    <col min="297" max="297" width="77.83203125" style="21" customWidth="1"/>
    <col min="298" max="299" width="20" style="21" customWidth="1"/>
    <col min="300" max="300" width="1.6640625" style="21" customWidth="1"/>
    <col min="301" max="545" width="9.33203125" style="21"/>
    <col min="546" max="546" width="8.33203125" style="21" customWidth="1"/>
    <col min="547" max="547" width="1.6640625" style="21" customWidth="1"/>
    <col min="548" max="549" width="5" style="21" customWidth="1"/>
    <col min="550" max="550" width="11.6640625" style="21" customWidth="1"/>
    <col min="551" max="551" width="9.1640625" style="21" customWidth="1"/>
    <col min="552" max="552" width="5" style="21" customWidth="1"/>
    <col min="553" max="553" width="77.83203125" style="21" customWidth="1"/>
    <col min="554" max="555" width="20" style="21" customWidth="1"/>
    <col min="556" max="556" width="1.6640625" style="21" customWidth="1"/>
    <col min="557" max="801" width="9.33203125" style="21"/>
    <col min="802" max="802" width="8.33203125" style="21" customWidth="1"/>
    <col min="803" max="803" width="1.6640625" style="21" customWidth="1"/>
    <col min="804" max="805" width="5" style="21" customWidth="1"/>
    <col min="806" max="806" width="11.6640625" style="21" customWidth="1"/>
    <col min="807" max="807" width="9.1640625" style="21" customWidth="1"/>
    <col min="808" max="808" width="5" style="21" customWidth="1"/>
    <col min="809" max="809" width="77.83203125" style="21" customWidth="1"/>
    <col min="810" max="811" width="20" style="21" customWidth="1"/>
    <col min="812" max="812" width="1.6640625" style="21" customWidth="1"/>
    <col min="813" max="1057" width="9.33203125" style="21"/>
    <col min="1058" max="1058" width="8.33203125" style="21" customWidth="1"/>
    <col min="1059" max="1059" width="1.6640625" style="21" customWidth="1"/>
    <col min="1060" max="1061" width="5" style="21" customWidth="1"/>
    <col min="1062" max="1062" width="11.6640625" style="21" customWidth="1"/>
    <col min="1063" max="1063" width="9.1640625" style="21" customWidth="1"/>
    <col min="1064" max="1064" width="5" style="21" customWidth="1"/>
    <col min="1065" max="1065" width="77.83203125" style="21" customWidth="1"/>
    <col min="1066" max="1067" width="20" style="21" customWidth="1"/>
    <col min="1068" max="1068" width="1.6640625" style="21" customWidth="1"/>
    <col min="1069" max="1313" width="9.33203125" style="21"/>
    <col min="1314" max="1314" width="8.33203125" style="21" customWidth="1"/>
    <col min="1315" max="1315" width="1.6640625" style="21" customWidth="1"/>
    <col min="1316" max="1317" width="5" style="21" customWidth="1"/>
    <col min="1318" max="1318" width="11.6640625" style="21" customWidth="1"/>
    <col min="1319" max="1319" width="9.1640625" style="21" customWidth="1"/>
    <col min="1320" max="1320" width="5" style="21" customWidth="1"/>
    <col min="1321" max="1321" width="77.83203125" style="21" customWidth="1"/>
    <col min="1322" max="1323" width="20" style="21" customWidth="1"/>
    <col min="1324" max="1324" width="1.6640625" style="21" customWidth="1"/>
    <col min="1325" max="1569" width="9.33203125" style="21"/>
    <col min="1570" max="1570" width="8.33203125" style="21" customWidth="1"/>
    <col min="1571" max="1571" width="1.6640625" style="21" customWidth="1"/>
    <col min="1572" max="1573" width="5" style="21" customWidth="1"/>
    <col min="1574" max="1574" width="11.6640625" style="21" customWidth="1"/>
    <col min="1575" max="1575" width="9.1640625" style="21" customWidth="1"/>
    <col min="1576" max="1576" width="5" style="21" customWidth="1"/>
    <col min="1577" max="1577" width="77.83203125" style="21" customWidth="1"/>
    <col min="1578" max="1579" width="20" style="21" customWidth="1"/>
    <col min="1580" max="1580" width="1.6640625" style="21" customWidth="1"/>
    <col min="1581" max="1825" width="9.33203125" style="21"/>
    <col min="1826" max="1826" width="8.33203125" style="21" customWidth="1"/>
    <col min="1827" max="1827" width="1.6640625" style="21" customWidth="1"/>
    <col min="1828" max="1829" width="5" style="21" customWidth="1"/>
    <col min="1830" max="1830" width="11.6640625" style="21" customWidth="1"/>
    <col min="1831" max="1831" width="9.1640625" style="21" customWidth="1"/>
    <col min="1832" max="1832" width="5" style="21" customWidth="1"/>
    <col min="1833" max="1833" width="77.83203125" style="21" customWidth="1"/>
    <col min="1834" max="1835" width="20" style="21" customWidth="1"/>
    <col min="1836" max="1836" width="1.6640625" style="21" customWidth="1"/>
    <col min="1837" max="2081" width="9.33203125" style="21"/>
    <col min="2082" max="2082" width="8.33203125" style="21" customWidth="1"/>
    <col min="2083" max="2083" width="1.6640625" style="21" customWidth="1"/>
    <col min="2084" max="2085" width="5" style="21" customWidth="1"/>
    <col min="2086" max="2086" width="11.6640625" style="21" customWidth="1"/>
    <col min="2087" max="2087" width="9.1640625" style="21" customWidth="1"/>
    <col min="2088" max="2088" width="5" style="21" customWidth="1"/>
    <col min="2089" max="2089" width="77.83203125" style="21" customWidth="1"/>
    <col min="2090" max="2091" width="20" style="21" customWidth="1"/>
    <col min="2092" max="2092" width="1.6640625" style="21" customWidth="1"/>
    <col min="2093" max="2337" width="9.33203125" style="21"/>
    <col min="2338" max="2338" width="8.33203125" style="21" customWidth="1"/>
    <col min="2339" max="2339" width="1.6640625" style="21" customWidth="1"/>
    <col min="2340" max="2341" width="5" style="21" customWidth="1"/>
    <col min="2342" max="2342" width="11.6640625" style="21" customWidth="1"/>
    <col min="2343" max="2343" width="9.1640625" style="21" customWidth="1"/>
    <col min="2344" max="2344" width="5" style="21" customWidth="1"/>
    <col min="2345" max="2345" width="77.83203125" style="21" customWidth="1"/>
    <col min="2346" max="2347" width="20" style="21" customWidth="1"/>
    <col min="2348" max="2348" width="1.6640625" style="21" customWidth="1"/>
    <col min="2349" max="2593" width="9.33203125" style="21"/>
    <col min="2594" max="2594" width="8.33203125" style="21" customWidth="1"/>
    <col min="2595" max="2595" width="1.6640625" style="21" customWidth="1"/>
    <col min="2596" max="2597" width="5" style="21" customWidth="1"/>
    <col min="2598" max="2598" width="11.6640625" style="21" customWidth="1"/>
    <col min="2599" max="2599" width="9.1640625" style="21" customWidth="1"/>
    <col min="2600" max="2600" width="5" style="21" customWidth="1"/>
    <col min="2601" max="2601" width="77.83203125" style="21" customWidth="1"/>
    <col min="2602" max="2603" width="20" style="21" customWidth="1"/>
    <col min="2604" max="2604" width="1.6640625" style="21" customWidth="1"/>
    <col min="2605" max="2849" width="9.33203125" style="21"/>
    <col min="2850" max="2850" width="8.33203125" style="21" customWidth="1"/>
    <col min="2851" max="2851" width="1.6640625" style="21" customWidth="1"/>
    <col min="2852" max="2853" width="5" style="21" customWidth="1"/>
    <col min="2854" max="2854" width="11.6640625" style="21" customWidth="1"/>
    <col min="2855" max="2855" width="9.1640625" style="21" customWidth="1"/>
    <col min="2856" max="2856" width="5" style="21" customWidth="1"/>
    <col min="2857" max="2857" width="77.83203125" style="21" customWidth="1"/>
    <col min="2858" max="2859" width="20" style="21" customWidth="1"/>
    <col min="2860" max="2860" width="1.6640625" style="21" customWidth="1"/>
    <col min="2861" max="3105" width="9.33203125" style="21"/>
    <col min="3106" max="3106" width="8.33203125" style="21" customWidth="1"/>
    <col min="3107" max="3107" width="1.6640625" style="21" customWidth="1"/>
    <col min="3108" max="3109" width="5" style="21" customWidth="1"/>
    <col min="3110" max="3110" width="11.6640625" style="21" customWidth="1"/>
    <col min="3111" max="3111" width="9.1640625" style="21" customWidth="1"/>
    <col min="3112" max="3112" width="5" style="21" customWidth="1"/>
    <col min="3113" max="3113" width="77.83203125" style="21" customWidth="1"/>
    <col min="3114" max="3115" width="20" style="21" customWidth="1"/>
    <col min="3116" max="3116" width="1.6640625" style="21" customWidth="1"/>
    <col min="3117" max="3361" width="9.33203125" style="21"/>
    <col min="3362" max="3362" width="8.33203125" style="21" customWidth="1"/>
    <col min="3363" max="3363" width="1.6640625" style="21" customWidth="1"/>
    <col min="3364" max="3365" width="5" style="21" customWidth="1"/>
    <col min="3366" max="3366" width="11.6640625" style="21" customWidth="1"/>
    <col min="3367" max="3367" width="9.1640625" style="21" customWidth="1"/>
    <col min="3368" max="3368" width="5" style="21" customWidth="1"/>
    <col min="3369" max="3369" width="77.83203125" style="21" customWidth="1"/>
    <col min="3370" max="3371" width="20" style="21" customWidth="1"/>
    <col min="3372" max="3372" width="1.6640625" style="21" customWidth="1"/>
    <col min="3373" max="3617" width="9.33203125" style="21"/>
    <col min="3618" max="3618" width="8.33203125" style="21" customWidth="1"/>
    <col min="3619" max="3619" width="1.6640625" style="21" customWidth="1"/>
    <col min="3620" max="3621" width="5" style="21" customWidth="1"/>
    <col min="3622" max="3622" width="11.6640625" style="21" customWidth="1"/>
    <col min="3623" max="3623" width="9.1640625" style="21" customWidth="1"/>
    <col min="3624" max="3624" width="5" style="21" customWidth="1"/>
    <col min="3625" max="3625" width="77.83203125" style="21" customWidth="1"/>
    <col min="3626" max="3627" width="20" style="21" customWidth="1"/>
    <col min="3628" max="3628" width="1.6640625" style="21" customWidth="1"/>
    <col min="3629" max="3873" width="9.33203125" style="21"/>
    <col min="3874" max="3874" width="8.33203125" style="21" customWidth="1"/>
    <col min="3875" max="3875" width="1.6640625" style="21" customWidth="1"/>
    <col min="3876" max="3877" width="5" style="21" customWidth="1"/>
    <col min="3878" max="3878" width="11.6640625" style="21" customWidth="1"/>
    <col min="3879" max="3879" width="9.1640625" style="21" customWidth="1"/>
    <col min="3880" max="3880" width="5" style="21" customWidth="1"/>
    <col min="3881" max="3881" width="77.83203125" style="21" customWidth="1"/>
    <col min="3882" max="3883" width="20" style="21" customWidth="1"/>
    <col min="3884" max="3884" width="1.6640625" style="21" customWidth="1"/>
    <col min="3885" max="4129" width="9.33203125" style="21"/>
    <col min="4130" max="4130" width="8.33203125" style="21" customWidth="1"/>
    <col min="4131" max="4131" width="1.6640625" style="21" customWidth="1"/>
    <col min="4132" max="4133" width="5" style="21" customWidth="1"/>
    <col min="4134" max="4134" width="11.6640625" style="21" customWidth="1"/>
    <col min="4135" max="4135" width="9.1640625" style="21" customWidth="1"/>
    <col min="4136" max="4136" width="5" style="21" customWidth="1"/>
    <col min="4137" max="4137" width="77.83203125" style="21" customWidth="1"/>
    <col min="4138" max="4139" width="20" style="21" customWidth="1"/>
    <col min="4140" max="4140" width="1.6640625" style="21" customWidth="1"/>
    <col min="4141" max="4385" width="9.33203125" style="21"/>
    <col min="4386" max="4386" width="8.33203125" style="21" customWidth="1"/>
    <col min="4387" max="4387" width="1.6640625" style="21" customWidth="1"/>
    <col min="4388" max="4389" width="5" style="21" customWidth="1"/>
    <col min="4390" max="4390" width="11.6640625" style="21" customWidth="1"/>
    <col min="4391" max="4391" width="9.1640625" style="21" customWidth="1"/>
    <col min="4392" max="4392" width="5" style="21" customWidth="1"/>
    <col min="4393" max="4393" width="77.83203125" style="21" customWidth="1"/>
    <col min="4394" max="4395" width="20" style="21" customWidth="1"/>
    <col min="4396" max="4396" width="1.6640625" style="21" customWidth="1"/>
    <col min="4397" max="4641" width="9.33203125" style="21"/>
    <col min="4642" max="4642" width="8.33203125" style="21" customWidth="1"/>
    <col min="4643" max="4643" width="1.6640625" style="21" customWidth="1"/>
    <col min="4644" max="4645" width="5" style="21" customWidth="1"/>
    <col min="4646" max="4646" width="11.6640625" style="21" customWidth="1"/>
    <col min="4647" max="4647" width="9.1640625" style="21" customWidth="1"/>
    <col min="4648" max="4648" width="5" style="21" customWidth="1"/>
    <col min="4649" max="4649" width="77.83203125" style="21" customWidth="1"/>
    <col min="4650" max="4651" width="20" style="21" customWidth="1"/>
    <col min="4652" max="4652" width="1.6640625" style="21" customWidth="1"/>
    <col min="4653" max="4897" width="9.33203125" style="21"/>
    <col min="4898" max="4898" width="8.33203125" style="21" customWidth="1"/>
    <col min="4899" max="4899" width="1.6640625" style="21" customWidth="1"/>
    <col min="4900" max="4901" width="5" style="21" customWidth="1"/>
    <col min="4902" max="4902" width="11.6640625" style="21" customWidth="1"/>
    <col min="4903" max="4903" width="9.1640625" style="21" customWidth="1"/>
    <col min="4904" max="4904" width="5" style="21" customWidth="1"/>
    <col min="4905" max="4905" width="77.83203125" style="21" customWidth="1"/>
    <col min="4906" max="4907" width="20" style="21" customWidth="1"/>
    <col min="4908" max="4908" width="1.6640625" style="21" customWidth="1"/>
    <col min="4909" max="5153" width="9.33203125" style="21"/>
    <col min="5154" max="5154" width="8.33203125" style="21" customWidth="1"/>
    <col min="5155" max="5155" width="1.6640625" style="21" customWidth="1"/>
    <col min="5156" max="5157" width="5" style="21" customWidth="1"/>
    <col min="5158" max="5158" width="11.6640625" style="21" customWidth="1"/>
    <col min="5159" max="5159" width="9.1640625" style="21" customWidth="1"/>
    <col min="5160" max="5160" width="5" style="21" customWidth="1"/>
    <col min="5161" max="5161" width="77.83203125" style="21" customWidth="1"/>
    <col min="5162" max="5163" width="20" style="21" customWidth="1"/>
    <col min="5164" max="5164" width="1.6640625" style="21" customWidth="1"/>
    <col min="5165" max="5409" width="9.33203125" style="21"/>
    <col min="5410" max="5410" width="8.33203125" style="21" customWidth="1"/>
    <col min="5411" max="5411" width="1.6640625" style="21" customWidth="1"/>
    <col min="5412" max="5413" width="5" style="21" customWidth="1"/>
    <col min="5414" max="5414" width="11.6640625" style="21" customWidth="1"/>
    <col min="5415" max="5415" width="9.1640625" style="21" customWidth="1"/>
    <col min="5416" max="5416" width="5" style="21" customWidth="1"/>
    <col min="5417" max="5417" width="77.83203125" style="21" customWidth="1"/>
    <col min="5418" max="5419" width="20" style="21" customWidth="1"/>
    <col min="5420" max="5420" width="1.6640625" style="21" customWidth="1"/>
    <col min="5421" max="5665" width="9.33203125" style="21"/>
    <col min="5666" max="5666" width="8.33203125" style="21" customWidth="1"/>
    <col min="5667" max="5667" width="1.6640625" style="21" customWidth="1"/>
    <col min="5668" max="5669" width="5" style="21" customWidth="1"/>
    <col min="5670" max="5670" width="11.6640625" style="21" customWidth="1"/>
    <col min="5671" max="5671" width="9.1640625" style="21" customWidth="1"/>
    <col min="5672" max="5672" width="5" style="21" customWidth="1"/>
    <col min="5673" max="5673" width="77.83203125" style="21" customWidth="1"/>
    <col min="5674" max="5675" width="20" style="21" customWidth="1"/>
    <col min="5676" max="5676" width="1.6640625" style="21" customWidth="1"/>
    <col min="5677" max="5921" width="9.33203125" style="21"/>
    <col min="5922" max="5922" width="8.33203125" style="21" customWidth="1"/>
    <col min="5923" max="5923" width="1.6640625" style="21" customWidth="1"/>
    <col min="5924" max="5925" width="5" style="21" customWidth="1"/>
    <col min="5926" max="5926" width="11.6640625" style="21" customWidth="1"/>
    <col min="5927" max="5927" width="9.1640625" style="21" customWidth="1"/>
    <col min="5928" max="5928" width="5" style="21" customWidth="1"/>
    <col min="5929" max="5929" width="77.83203125" style="21" customWidth="1"/>
    <col min="5930" max="5931" width="20" style="21" customWidth="1"/>
    <col min="5932" max="5932" width="1.6640625" style="21" customWidth="1"/>
    <col min="5933" max="6177" width="9.33203125" style="21"/>
    <col min="6178" max="6178" width="8.33203125" style="21" customWidth="1"/>
    <col min="6179" max="6179" width="1.6640625" style="21" customWidth="1"/>
    <col min="6180" max="6181" width="5" style="21" customWidth="1"/>
    <col min="6182" max="6182" width="11.6640625" style="21" customWidth="1"/>
    <col min="6183" max="6183" width="9.1640625" style="21" customWidth="1"/>
    <col min="6184" max="6184" width="5" style="21" customWidth="1"/>
    <col min="6185" max="6185" width="77.83203125" style="21" customWidth="1"/>
    <col min="6186" max="6187" width="20" style="21" customWidth="1"/>
    <col min="6188" max="6188" width="1.6640625" style="21" customWidth="1"/>
    <col min="6189" max="6433" width="9.33203125" style="21"/>
    <col min="6434" max="6434" width="8.33203125" style="21" customWidth="1"/>
    <col min="6435" max="6435" width="1.6640625" style="21" customWidth="1"/>
    <col min="6436" max="6437" width="5" style="21" customWidth="1"/>
    <col min="6438" max="6438" width="11.6640625" style="21" customWidth="1"/>
    <col min="6439" max="6439" width="9.1640625" style="21" customWidth="1"/>
    <col min="6440" max="6440" width="5" style="21" customWidth="1"/>
    <col min="6441" max="6441" width="77.83203125" style="21" customWidth="1"/>
    <col min="6442" max="6443" width="20" style="21" customWidth="1"/>
    <col min="6444" max="6444" width="1.6640625" style="21" customWidth="1"/>
    <col min="6445" max="6689" width="9.33203125" style="21"/>
    <col min="6690" max="6690" width="8.33203125" style="21" customWidth="1"/>
    <col min="6691" max="6691" width="1.6640625" style="21" customWidth="1"/>
    <col min="6692" max="6693" width="5" style="21" customWidth="1"/>
    <col min="6694" max="6694" width="11.6640625" style="21" customWidth="1"/>
    <col min="6695" max="6695" width="9.1640625" style="21" customWidth="1"/>
    <col min="6696" max="6696" width="5" style="21" customWidth="1"/>
    <col min="6697" max="6697" width="77.83203125" style="21" customWidth="1"/>
    <col min="6698" max="6699" width="20" style="21" customWidth="1"/>
    <col min="6700" max="6700" width="1.6640625" style="21" customWidth="1"/>
    <col min="6701" max="6945" width="9.33203125" style="21"/>
    <col min="6946" max="6946" width="8.33203125" style="21" customWidth="1"/>
    <col min="6947" max="6947" width="1.6640625" style="21" customWidth="1"/>
    <col min="6948" max="6949" width="5" style="21" customWidth="1"/>
    <col min="6950" max="6950" width="11.6640625" style="21" customWidth="1"/>
    <col min="6951" max="6951" width="9.1640625" style="21" customWidth="1"/>
    <col min="6952" max="6952" width="5" style="21" customWidth="1"/>
    <col min="6953" max="6953" width="77.83203125" style="21" customWidth="1"/>
    <col min="6954" max="6955" width="20" style="21" customWidth="1"/>
    <col min="6956" max="6956" width="1.6640625" style="21" customWidth="1"/>
    <col min="6957" max="7201" width="9.33203125" style="21"/>
    <col min="7202" max="7202" width="8.33203125" style="21" customWidth="1"/>
    <col min="7203" max="7203" width="1.6640625" style="21" customWidth="1"/>
    <col min="7204" max="7205" width="5" style="21" customWidth="1"/>
    <col min="7206" max="7206" width="11.6640625" style="21" customWidth="1"/>
    <col min="7207" max="7207" width="9.1640625" style="21" customWidth="1"/>
    <col min="7208" max="7208" width="5" style="21" customWidth="1"/>
    <col min="7209" max="7209" width="77.83203125" style="21" customWidth="1"/>
    <col min="7210" max="7211" width="20" style="21" customWidth="1"/>
    <col min="7212" max="7212" width="1.6640625" style="21" customWidth="1"/>
    <col min="7213" max="7457" width="9.33203125" style="21"/>
    <col min="7458" max="7458" width="8.33203125" style="21" customWidth="1"/>
    <col min="7459" max="7459" width="1.6640625" style="21" customWidth="1"/>
    <col min="7460" max="7461" width="5" style="21" customWidth="1"/>
    <col min="7462" max="7462" width="11.6640625" style="21" customWidth="1"/>
    <col min="7463" max="7463" width="9.1640625" style="21" customWidth="1"/>
    <col min="7464" max="7464" width="5" style="21" customWidth="1"/>
    <col min="7465" max="7465" width="77.83203125" style="21" customWidth="1"/>
    <col min="7466" max="7467" width="20" style="21" customWidth="1"/>
    <col min="7468" max="7468" width="1.6640625" style="21" customWidth="1"/>
    <col min="7469" max="7713" width="9.33203125" style="21"/>
    <col min="7714" max="7714" width="8.33203125" style="21" customWidth="1"/>
    <col min="7715" max="7715" width="1.6640625" style="21" customWidth="1"/>
    <col min="7716" max="7717" width="5" style="21" customWidth="1"/>
    <col min="7718" max="7718" width="11.6640625" style="21" customWidth="1"/>
    <col min="7719" max="7719" width="9.1640625" style="21" customWidth="1"/>
    <col min="7720" max="7720" width="5" style="21" customWidth="1"/>
    <col min="7721" max="7721" width="77.83203125" style="21" customWidth="1"/>
    <col min="7722" max="7723" width="20" style="21" customWidth="1"/>
    <col min="7724" max="7724" width="1.6640625" style="21" customWidth="1"/>
    <col min="7725" max="7969" width="9.33203125" style="21"/>
    <col min="7970" max="7970" width="8.33203125" style="21" customWidth="1"/>
    <col min="7971" max="7971" width="1.6640625" style="21" customWidth="1"/>
    <col min="7972" max="7973" width="5" style="21" customWidth="1"/>
    <col min="7974" max="7974" width="11.6640625" style="21" customWidth="1"/>
    <col min="7975" max="7975" width="9.1640625" style="21" customWidth="1"/>
    <col min="7976" max="7976" width="5" style="21" customWidth="1"/>
    <col min="7977" max="7977" width="77.83203125" style="21" customWidth="1"/>
    <col min="7978" max="7979" width="20" style="21" customWidth="1"/>
    <col min="7980" max="7980" width="1.6640625" style="21" customWidth="1"/>
    <col min="7981" max="8225" width="9.33203125" style="21"/>
    <col min="8226" max="8226" width="8.33203125" style="21" customWidth="1"/>
    <col min="8227" max="8227" width="1.6640625" style="21" customWidth="1"/>
    <col min="8228" max="8229" width="5" style="21" customWidth="1"/>
    <col min="8230" max="8230" width="11.6640625" style="21" customWidth="1"/>
    <col min="8231" max="8231" width="9.1640625" style="21" customWidth="1"/>
    <col min="8232" max="8232" width="5" style="21" customWidth="1"/>
    <col min="8233" max="8233" width="77.83203125" style="21" customWidth="1"/>
    <col min="8234" max="8235" width="20" style="21" customWidth="1"/>
    <col min="8236" max="8236" width="1.6640625" style="21" customWidth="1"/>
    <col min="8237" max="8481" width="9.33203125" style="21"/>
    <col min="8482" max="8482" width="8.33203125" style="21" customWidth="1"/>
    <col min="8483" max="8483" width="1.6640625" style="21" customWidth="1"/>
    <col min="8484" max="8485" width="5" style="21" customWidth="1"/>
    <col min="8486" max="8486" width="11.6640625" style="21" customWidth="1"/>
    <col min="8487" max="8487" width="9.1640625" style="21" customWidth="1"/>
    <col min="8488" max="8488" width="5" style="21" customWidth="1"/>
    <col min="8489" max="8489" width="77.83203125" style="21" customWidth="1"/>
    <col min="8490" max="8491" width="20" style="21" customWidth="1"/>
    <col min="8492" max="8492" width="1.6640625" style="21" customWidth="1"/>
    <col min="8493" max="8737" width="9.33203125" style="21"/>
    <col min="8738" max="8738" width="8.33203125" style="21" customWidth="1"/>
    <col min="8739" max="8739" width="1.6640625" style="21" customWidth="1"/>
    <col min="8740" max="8741" width="5" style="21" customWidth="1"/>
    <col min="8742" max="8742" width="11.6640625" style="21" customWidth="1"/>
    <col min="8743" max="8743" width="9.1640625" style="21" customWidth="1"/>
    <col min="8744" max="8744" width="5" style="21" customWidth="1"/>
    <col min="8745" max="8745" width="77.83203125" style="21" customWidth="1"/>
    <col min="8746" max="8747" width="20" style="21" customWidth="1"/>
    <col min="8748" max="8748" width="1.6640625" style="21" customWidth="1"/>
    <col min="8749" max="8993" width="9.33203125" style="21"/>
    <col min="8994" max="8994" width="8.33203125" style="21" customWidth="1"/>
    <col min="8995" max="8995" width="1.6640625" style="21" customWidth="1"/>
    <col min="8996" max="8997" width="5" style="21" customWidth="1"/>
    <col min="8998" max="8998" width="11.6640625" style="21" customWidth="1"/>
    <col min="8999" max="8999" width="9.1640625" style="21" customWidth="1"/>
    <col min="9000" max="9000" width="5" style="21" customWidth="1"/>
    <col min="9001" max="9001" width="77.83203125" style="21" customWidth="1"/>
    <col min="9002" max="9003" width="20" style="21" customWidth="1"/>
    <col min="9004" max="9004" width="1.6640625" style="21" customWidth="1"/>
    <col min="9005" max="9249" width="9.33203125" style="21"/>
    <col min="9250" max="9250" width="8.33203125" style="21" customWidth="1"/>
    <col min="9251" max="9251" width="1.6640625" style="21" customWidth="1"/>
    <col min="9252" max="9253" width="5" style="21" customWidth="1"/>
    <col min="9254" max="9254" width="11.6640625" style="21" customWidth="1"/>
    <col min="9255" max="9255" width="9.1640625" style="21" customWidth="1"/>
    <col min="9256" max="9256" width="5" style="21" customWidth="1"/>
    <col min="9257" max="9257" width="77.83203125" style="21" customWidth="1"/>
    <col min="9258" max="9259" width="20" style="21" customWidth="1"/>
    <col min="9260" max="9260" width="1.6640625" style="21" customWidth="1"/>
    <col min="9261" max="9505" width="9.33203125" style="21"/>
    <col min="9506" max="9506" width="8.33203125" style="21" customWidth="1"/>
    <col min="9507" max="9507" width="1.6640625" style="21" customWidth="1"/>
    <col min="9508" max="9509" width="5" style="21" customWidth="1"/>
    <col min="9510" max="9510" width="11.6640625" style="21" customWidth="1"/>
    <col min="9511" max="9511" width="9.1640625" style="21" customWidth="1"/>
    <col min="9512" max="9512" width="5" style="21" customWidth="1"/>
    <col min="9513" max="9513" width="77.83203125" style="21" customWidth="1"/>
    <col min="9514" max="9515" width="20" style="21" customWidth="1"/>
    <col min="9516" max="9516" width="1.6640625" style="21" customWidth="1"/>
    <col min="9517" max="9761" width="9.33203125" style="21"/>
    <col min="9762" max="9762" width="8.33203125" style="21" customWidth="1"/>
    <col min="9763" max="9763" width="1.6640625" style="21" customWidth="1"/>
    <col min="9764" max="9765" width="5" style="21" customWidth="1"/>
    <col min="9766" max="9766" width="11.6640625" style="21" customWidth="1"/>
    <col min="9767" max="9767" width="9.1640625" style="21" customWidth="1"/>
    <col min="9768" max="9768" width="5" style="21" customWidth="1"/>
    <col min="9769" max="9769" width="77.83203125" style="21" customWidth="1"/>
    <col min="9770" max="9771" width="20" style="21" customWidth="1"/>
    <col min="9772" max="9772" width="1.6640625" style="21" customWidth="1"/>
    <col min="9773" max="10017" width="9.33203125" style="21"/>
    <col min="10018" max="10018" width="8.33203125" style="21" customWidth="1"/>
    <col min="10019" max="10019" width="1.6640625" style="21" customWidth="1"/>
    <col min="10020" max="10021" width="5" style="21" customWidth="1"/>
    <col min="10022" max="10022" width="11.6640625" style="21" customWidth="1"/>
    <col min="10023" max="10023" width="9.1640625" style="21" customWidth="1"/>
    <col min="10024" max="10024" width="5" style="21" customWidth="1"/>
    <col min="10025" max="10025" width="77.83203125" style="21" customWidth="1"/>
    <col min="10026" max="10027" width="20" style="21" customWidth="1"/>
    <col min="10028" max="10028" width="1.6640625" style="21" customWidth="1"/>
    <col min="10029" max="10273" width="9.33203125" style="21"/>
    <col min="10274" max="10274" width="8.33203125" style="21" customWidth="1"/>
    <col min="10275" max="10275" width="1.6640625" style="21" customWidth="1"/>
    <col min="10276" max="10277" width="5" style="21" customWidth="1"/>
    <col min="10278" max="10278" width="11.6640625" style="21" customWidth="1"/>
    <col min="10279" max="10279" width="9.1640625" style="21" customWidth="1"/>
    <col min="10280" max="10280" width="5" style="21" customWidth="1"/>
    <col min="10281" max="10281" width="77.83203125" style="21" customWidth="1"/>
    <col min="10282" max="10283" width="20" style="21" customWidth="1"/>
    <col min="10284" max="10284" width="1.6640625" style="21" customWidth="1"/>
    <col min="10285" max="10529" width="9.33203125" style="21"/>
    <col min="10530" max="10530" width="8.33203125" style="21" customWidth="1"/>
    <col min="10531" max="10531" width="1.6640625" style="21" customWidth="1"/>
    <col min="10532" max="10533" width="5" style="21" customWidth="1"/>
    <col min="10534" max="10534" width="11.6640625" style="21" customWidth="1"/>
    <col min="10535" max="10535" width="9.1640625" style="21" customWidth="1"/>
    <col min="10536" max="10536" width="5" style="21" customWidth="1"/>
    <col min="10537" max="10537" width="77.83203125" style="21" customWidth="1"/>
    <col min="10538" max="10539" width="20" style="21" customWidth="1"/>
    <col min="10540" max="10540" width="1.6640625" style="21" customWidth="1"/>
    <col min="10541" max="10785" width="9.33203125" style="21"/>
    <col min="10786" max="10786" width="8.33203125" style="21" customWidth="1"/>
    <col min="10787" max="10787" width="1.6640625" style="21" customWidth="1"/>
    <col min="10788" max="10789" width="5" style="21" customWidth="1"/>
    <col min="10790" max="10790" width="11.6640625" style="21" customWidth="1"/>
    <col min="10791" max="10791" width="9.1640625" style="21" customWidth="1"/>
    <col min="10792" max="10792" width="5" style="21" customWidth="1"/>
    <col min="10793" max="10793" width="77.83203125" style="21" customWidth="1"/>
    <col min="10794" max="10795" width="20" style="21" customWidth="1"/>
    <col min="10796" max="10796" width="1.6640625" style="21" customWidth="1"/>
    <col min="10797" max="11041" width="9.33203125" style="21"/>
    <col min="11042" max="11042" width="8.33203125" style="21" customWidth="1"/>
    <col min="11043" max="11043" width="1.6640625" style="21" customWidth="1"/>
    <col min="11044" max="11045" width="5" style="21" customWidth="1"/>
    <col min="11046" max="11046" width="11.6640625" style="21" customWidth="1"/>
    <col min="11047" max="11047" width="9.1640625" style="21" customWidth="1"/>
    <col min="11048" max="11048" width="5" style="21" customWidth="1"/>
    <col min="11049" max="11049" width="77.83203125" style="21" customWidth="1"/>
    <col min="11050" max="11051" width="20" style="21" customWidth="1"/>
    <col min="11052" max="11052" width="1.6640625" style="21" customWidth="1"/>
    <col min="11053" max="11297" width="9.33203125" style="21"/>
    <col min="11298" max="11298" width="8.33203125" style="21" customWidth="1"/>
    <col min="11299" max="11299" width="1.6640625" style="21" customWidth="1"/>
    <col min="11300" max="11301" width="5" style="21" customWidth="1"/>
    <col min="11302" max="11302" width="11.6640625" style="21" customWidth="1"/>
    <col min="11303" max="11303" width="9.1640625" style="21" customWidth="1"/>
    <col min="11304" max="11304" width="5" style="21" customWidth="1"/>
    <col min="11305" max="11305" width="77.83203125" style="21" customWidth="1"/>
    <col min="11306" max="11307" width="20" style="21" customWidth="1"/>
    <col min="11308" max="11308" width="1.6640625" style="21" customWidth="1"/>
    <col min="11309" max="11553" width="9.33203125" style="21"/>
    <col min="11554" max="11554" width="8.33203125" style="21" customWidth="1"/>
    <col min="11555" max="11555" width="1.6640625" style="21" customWidth="1"/>
    <col min="11556" max="11557" width="5" style="21" customWidth="1"/>
    <col min="11558" max="11558" width="11.6640625" style="21" customWidth="1"/>
    <col min="11559" max="11559" width="9.1640625" style="21" customWidth="1"/>
    <col min="11560" max="11560" width="5" style="21" customWidth="1"/>
    <col min="11561" max="11561" width="77.83203125" style="21" customWidth="1"/>
    <col min="11562" max="11563" width="20" style="21" customWidth="1"/>
    <col min="11564" max="11564" width="1.6640625" style="21" customWidth="1"/>
    <col min="11565" max="11809" width="9.33203125" style="21"/>
    <col min="11810" max="11810" width="8.33203125" style="21" customWidth="1"/>
    <col min="11811" max="11811" width="1.6640625" style="21" customWidth="1"/>
    <col min="11812" max="11813" width="5" style="21" customWidth="1"/>
    <col min="11814" max="11814" width="11.6640625" style="21" customWidth="1"/>
    <col min="11815" max="11815" width="9.1640625" style="21" customWidth="1"/>
    <col min="11816" max="11816" width="5" style="21" customWidth="1"/>
    <col min="11817" max="11817" width="77.83203125" style="21" customWidth="1"/>
    <col min="11818" max="11819" width="20" style="21" customWidth="1"/>
    <col min="11820" max="11820" width="1.6640625" style="21" customWidth="1"/>
    <col min="11821" max="12065" width="9.33203125" style="21"/>
    <col min="12066" max="12066" width="8.33203125" style="21" customWidth="1"/>
    <col min="12067" max="12067" width="1.6640625" style="21" customWidth="1"/>
    <col min="12068" max="12069" width="5" style="21" customWidth="1"/>
    <col min="12070" max="12070" width="11.6640625" style="21" customWidth="1"/>
    <col min="12071" max="12071" width="9.1640625" style="21" customWidth="1"/>
    <col min="12072" max="12072" width="5" style="21" customWidth="1"/>
    <col min="12073" max="12073" width="77.83203125" style="21" customWidth="1"/>
    <col min="12074" max="12075" width="20" style="21" customWidth="1"/>
    <col min="12076" max="12076" width="1.6640625" style="21" customWidth="1"/>
    <col min="12077" max="12321" width="9.33203125" style="21"/>
    <col min="12322" max="12322" width="8.33203125" style="21" customWidth="1"/>
    <col min="12323" max="12323" width="1.6640625" style="21" customWidth="1"/>
    <col min="12324" max="12325" width="5" style="21" customWidth="1"/>
    <col min="12326" max="12326" width="11.6640625" style="21" customWidth="1"/>
    <col min="12327" max="12327" width="9.1640625" style="21" customWidth="1"/>
    <col min="12328" max="12328" width="5" style="21" customWidth="1"/>
    <col min="12329" max="12329" width="77.83203125" style="21" customWidth="1"/>
    <col min="12330" max="12331" width="20" style="21" customWidth="1"/>
    <col min="12332" max="12332" width="1.6640625" style="21" customWidth="1"/>
    <col min="12333" max="12577" width="9.33203125" style="21"/>
    <col min="12578" max="12578" width="8.33203125" style="21" customWidth="1"/>
    <col min="12579" max="12579" width="1.6640625" style="21" customWidth="1"/>
    <col min="12580" max="12581" width="5" style="21" customWidth="1"/>
    <col min="12582" max="12582" width="11.6640625" style="21" customWidth="1"/>
    <col min="12583" max="12583" width="9.1640625" style="21" customWidth="1"/>
    <col min="12584" max="12584" width="5" style="21" customWidth="1"/>
    <col min="12585" max="12585" width="77.83203125" style="21" customWidth="1"/>
    <col min="12586" max="12587" width="20" style="21" customWidth="1"/>
    <col min="12588" max="12588" width="1.6640625" style="21" customWidth="1"/>
    <col min="12589" max="12833" width="9.33203125" style="21"/>
    <col min="12834" max="12834" width="8.33203125" style="21" customWidth="1"/>
    <col min="12835" max="12835" width="1.6640625" style="21" customWidth="1"/>
    <col min="12836" max="12837" width="5" style="21" customWidth="1"/>
    <col min="12838" max="12838" width="11.6640625" style="21" customWidth="1"/>
    <col min="12839" max="12839" width="9.1640625" style="21" customWidth="1"/>
    <col min="12840" max="12840" width="5" style="21" customWidth="1"/>
    <col min="12841" max="12841" width="77.83203125" style="21" customWidth="1"/>
    <col min="12842" max="12843" width="20" style="21" customWidth="1"/>
    <col min="12844" max="12844" width="1.6640625" style="21" customWidth="1"/>
    <col min="12845" max="13089" width="9.33203125" style="21"/>
    <col min="13090" max="13090" width="8.33203125" style="21" customWidth="1"/>
    <col min="13091" max="13091" width="1.6640625" style="21" customWidth="1"/>
    <col min="13092" max="13093" width="5" style="21" customWidth="1"/>
    <col min="13094" max="13094" width="11.6640625" style="21" customWidth="1"/>
    <col min="13095" max="13095" width="9.1640625" style="21" customWidth="1"/>
    <col min="13096" max="13096" width="5" style="21" customWidth="1"/>
    <col min="13097" max="13097" width="77.83203125" style="21" customWidth="1"/>
    <col min="13098" max="13099" width="20" style="21" customWidth="1"/>
    <col min="13100" max="13100" width="1.6640625" style="21" customWidth="1"/>
    <col min="13101" max="13345" width="9.33203125" style="21"/>
    <col min="13346" max="13346" width="8.33203125" style="21" customWidth="1"/>
    <col min="13347" max="13347" width="1.6640625" style="21" customWidth="1"/>
    <col min="13348" max="13349" width="5" style="21" customWidth="1"/>
    <col min="13350" max="13350" width="11.6640625" style="21" customWidth="1"/>
    <col min="13351" max="13351" width="9.1640625" style="21" customWidth="1"/>
    <col min="13352" max="13352" width="5" style="21" customWidth="1"/>
    <col min="13353" max="13353" width="77.83203125" style="21" customWidth="1"/>
    <col min="13354" max="13355" width="20" style="21" customWidth="1"/>
    <col min="13356" max="13356" width="1.6640625" style="21" customWidth="1"/>
    <col min="13357" max="13601" width="9.33203125" style="21"/>
    <col min="13602" max="13602" width="8.33203125" style="21" customWidth="1"/>
    <col min="13603" max="13603" width="1.6640625" style="21" customWidth="1"/>
    <col min="13604" max="13605" width="5" style="21" customWidth="1"/>
    <col min="13606" max="13606" width="11.6640625" style="21" customWidth="1"/>
    <col min="13607" max="13607" width="9.1640625" style="21" customWidth="1"/>
    <col min="13608" max="13608" width="5" style="21" customWidth="1"/>
    <col min="13609" max="13609" width="77.83203125" style="21" customWidth="1"/>
    <col min="13610" max="13611" width="20" style="21" customWidth="1"/>
    <col min="13612" max="13612" width="1.6640625" style="21" customWidth="1"/>
    <col min="13613" max="13857" width="9.33203125" style="21"/>
    <col min="13858" max="13858" width="8.33203125" style="21" customWidth="1"/>
    <col min="13859" max="13859" width="1.6640625" style="21" customWidth="1"/>
    <col min="13860" max="13861" width="5" style="21" customWidth="1"/>
    <col min="13862" max="13862" width="11.6640625" style="21" customWidth="1"/>
    <col min="13863" max="13863" width="9.1640625" style="21" customWidth="1"/>
    <col min="13864" max="13864" width="5" style="21" customWidth="1"/>
    <col min="13865" max="13865" width="77.83203125" style="21" customWidth="1"/>
    <col min="13866" max="13867" width="20" style="21" customWidth="1"/>
    <col min="13868" max="13868" width="1.6640625" style="21" customWidth="1"/>
    <col min="13869" max="14113" width="9.33203125" style="21"/>
    <col min="14114" max="14114" width="8.33203125" style="21" customWidth="1"/>
    <col min="14115" max="14115" width="1.6640625" style="21" customWidth="1"/>
    <col min="14116" max="14117" width="5" style="21" customWidth="1"/>
    <col min="14118" max="14118" width="11.6640625" style="21" customWidth="1"/>
    <col min="14119" max="14119" width="9.1640625" style="21" customWidth="1"/>
    <col min="14120" max="14120" width="5" style="21" customWidth="1"/>
    <col min="14121" max="14121" width="77.83203125" style="21" customWidth="1"/>
    <col min="14122" max="14123" width="20" style="21" customWidth="1"/>
    <col min="14124" max="14124" width="1.6640625" style="21" customWidth="1"/>
    <col min="14125" max="14369" width="9.33203125" style="21"/>
    <col min="14370" max="14370" width="8.33203125" style="21" customWidth="1"/>
    <col min="14371" max="14371" width="1.6640625" style="21" customWidth="1"/>
    <col min="14372" max="14373" width="5" style="21" customWidth="1"/>
    <col min="14374" max="14374" width="11.6640625" style="21" customWidth="1"/>
    <col min="14375" max="14375" width="9.1640625" style="21" customWidth="1"/>
    <col min="14376" max="14376" width="5" style="21" customWidth="1"/>
    <col min="14377" max="14377" width="77.83203125" style="21" customWidth="1"/>
    <col min="14378" max="14379" width="20" style="21" customWidth="1"/>
    <col min="14380" max="14380" width="1.6640625" style="21" customWidth="1"/>
    <col min="14381" max="14625" width="9.33203125" style="21"/>
    <col min="14626" max="14626" width="8.33203125" style="21" customWidth="1"/>
    <col min="14627" max="14627" width="1.6640625" style="21" customWidth="1"/>
    <col min="14628" max="14629" width="5" style="21" customWidth="1"/>
    <col min="14630" max="14630" width="11.6640625" style="21" customWidth="1"/>
    <col min="14631" max="14631" width="9.1640625" style="21" customWidth="1"/>
    <col min="14632" max="14632" width="5" style="21" customWidth="1"/>
    <col min="14633" max="14633" width="77.83203125" style="21" customWidth="1"/>
    <col min="14634" max="14635" width="20" style="21" customWidth="1"/>
    <col min="14636" max="14636" width="1.6640625" style="21" customWidth="1"/>
    <col min="14637" max="14881" width="9.33203125" style="21"/>
    <col min="14882" max="14882" width="8.33203125" style="21" customWidth="1"/>
    <col min="14883" max="14883" width="1.6640625" style="21" customWidth="1"/>
    <col min="14884" max="14885" width="5" style="21" customWidth="1"/>
    <col min="14886" max="14886" width="11.6640625" style="21" customWidth="1"/>
    <col min="14887" max="14887" width="9.1640625" style="21" customWidth="1"/>
    <col min="14888" max="14888" width="5" style="21" customWidth="1"/>
    <col min="14889" max="14889" width="77.83203125" style="21" customWidth="1"/>
    <col min="14890" max="14891" width="20" style="21" customWidth="1"/>
    <col min="14892" max="14892" width="1.6640625" style="21" customWidth="1"/>
    <col min="14893" max="15137" width="9.33203125" style="21"/>
    <col min="15138" max="15138" width="8.33203125" style="21" customWidth="1"/>
    <col min="15139" max="15139" width="1.6640625" style="21" customWidth="1"/>
    <col min="15140" max="15141" width="5" style="21" customWidth="1"/>
    <col min="15142" max="15142" width="11.6640625" style="21" customWidth="1"/>
    <col min="15143" max="15143" width="9.1640625" style="21" customWidth="1"/>
    <col min="15144" max="15144" width="5" style="21" customWidth="1"/>
    <col min="15145" max="15145" width="77.83203125" style="21" customWidth="1"/>
    <col min="15146" max="15147" width="20" style="21" customWidth="1"/>
    <col min="15148" max="15148" width="1.6640625" style="21" customWidth="1"/>
    <col min="15149" max="15393" width="9.33203125" style="21"/>
    <col min="15394" max="15394" width="8.33203125" style="21" customWidth="1"/>
    <col min="15395" max="15395" width="1.6640625" style="21" customWidth="1"/>
    <col min="15396" max="15397" width="5" style="21" customWidth="1"/>
    <col min="15398" max="15398" width="11.6640625" style="21" customWidth="1"/>
    <col min="15399" max="15399" width="9.1640625" style="21" customWidth="1"/>
    <col min="15400" max="15400" width="5" style="21" customWidth="1"/>
    <col min="15401" max="15401" width="77.83203125" style="21" customWidth="1"/>
    <col min="15402" max="15403" width="20" style="21" customWidth="1"/>
    <col min="15404" max="15404" width="1.6640625" style="21" customWidth="1"/>
    <col min="15405" max="15649" width="9.33203125" style="21"/>
    <col min="15650" max="15650" width="8.33203125" style="21" customWidth="1"/>
    <col min="15651" max="15651" width="1.6640625" style="21" customWidth="1"/>
    <col min="15652" max="15653" width="5" style="21" customWidth="1"/>
    <col min="15654" max="15654" width="11.6640625" style="21" customWidth="1"/>
    <col min="15655" max="15655" width="9.1640625" style="21" customWidth="1"/>
    <col min="15656" max="15656" width="5" style="21" customWidth="1"/>
    <col min="15657" max="15657" width="77.83203125" style="21" customWidth="1"/>
    <col min="15658" max="15659" width="20" style="21" customWidth="1"/>
    <col min="15660" max="15660" width="1.6640625" style="21" customWidth="1"/>
    <col min="15661" max="15905" width="9.33203125" style="21"/>
    <col min="15906" max="15906" width="8.33203125" style="21" customWidth="1"/>
    <col min="15907" max="15907" width="1.6640625" style="21" customWidth="1"/>
    <col min="15908" max="15909" width="5" style="21" customWidth="1"/>
    <col min="15910" max="15910" width="11.6640625" style="21" customWidth="1"/>
    <col min="15911" max="15911" width="9.1640625" style="21" customWidth="1"/>
    <col min="15912" max="15912" width="5" style="21" customWidth="1"/>
    <col min="15913" max="15913" width="77.83203125" style="21" customWidth="1"/>
    <col min="15914" max="15915" width="20" style="21" customWidth="1"/>
    <col min="15916" max="15916" width="1.6640625" style="21" customWidth="1"/>
    <col min="15917" max="16161" width="9.33203125" style="21"/>
    <col min="16162" max="16384" width="9.33203125" style="21" customWidth="1"/>
  </cols>
  <sheetData>
    <row r="1" spans="1:11" ht="37.5" customHeight="1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7.5" customHeight="1">
      <c r="A2" s="168"/>
      <c r="B2" s="169"/>
      <c r="C2" s="170"/>
      <c r="D2" s="170"/>
      <c r="E2" s="170"/>
      <c r="F2" s="170"/>
      <c r="G2" s="170"/>
      <c r="H2" s="170"/>
      <c r="I2" s="170"/>
      <c r="J2" s="170"/>
      <c r="K2" s="171"/>
    </row>
    <row r="3" spans="1:11" s="22" customFormat="1" ht="45" customHeight="1">
      <c r="A3" s="172"/>
      <c r="B3" s="173"/>
      <c r="C3" s="429" t="s">
        <v>312</v>
      </c>
      <c r="D3" s="429"/>
      <c r="E3" s="429"/>
      <c r="F3" s="429"/>
      <c r="G3" s="429"/>
      <c r="H3" s="429"/>
      <c r="I3" s="429"/>
      <c r="J3" s="429"/>
      <c r="K3" s="174"/>
    </row>
    <row r="4" spans="1:11" ht="25.5" customHeight="1">
      <c r="A4" s="168"/>
      <c r="B4" s="175"/>
      <c r="C4" s="430" t="s">
        <v>313</v>
      </c>
      <c r="D4" s="430"/>
      <c r="E4" s="430"/>
      <c r="F4" s="430"/>
      <c r="G4" s="430"/>
      <c r="H4" s="430"/>
      <c r="I4" s="430"/>
      <c r="J4" s="430"/>
      <c r="K4" s="176"/>
    </row>
    <row r="5" spans="1:11" ht="5.25" customHeight="1">
      <c r="A5" s="168"/>
      <c r="B5" s="175"/>
      <c r="C5" s="177"/>
      <c r="D5" s="177"/>
      <c r="E5" s="177"/>
      <c r="F5" s="177"/>
      <c r="G5" s="177"/>
      <c r="H5" s="177"/>
      <c r="I5" s="177"/>
      <c r="J5" s="177"/>
      <c r="K5" s="176"/>
    </row>
    <row r="6" spans="1:11" ht="28.15" customHeight="1">
      <c r="A6" s="168"/>
      <c r="B6" s="175"/>
      <c r="C6" s="428" t="s">
        <v>314</v>
      </c>
      <c r="D6" s="428"/>
      <c r="E6" s="428"/>
      <c r="F6" s="428"/>
      <c r="G6" s="428"/>
      <c r="H6" s="428"/>
      <c r="I6" s="428"/>
      <c r="J6" s="428"/>
      <c r="K6" s="176"/>
    </row>
    <row r="7" spans="1:11" ht="15" customHeight="1">
      <c r="A7" s="168"/>
      <c r="B7" s="178"/>
      <c r="C7" s="428" t="s">
        <v>315</v>
      </c>
      <c r="D7" s="428"/>
      <c r="E7" s="428"/>
      <c r="F7" s="428"/>
      <c r="G7" s="428"/>
      <c r="H7" s="428"/>
      <c r="I7" s="428"/>
      <c r="J7" s="428"/>
      <c r="K7" s="176"/>
    </row>
    <row r="8" spans="1:11" ht="12.75" customHeight="1">
      <c r="A8" s="168"/>
      <c r="B8" s="178"/>
      <c r="C8" s="179"/>
      <c r="D8" s="179"/>
      <c r="E8" s="179"/>
      <c r="F8" s="179"/>
      <c r="G8" s="179"/>
      <c r="H8" s="179"/>
      <c r="I8" s="179"/>
      <c r="J8" s="179"/>
      <c r="K8" s="176"/>
    </row>
    <row r="9" spans="1:11" ht="15">
      <c r="A9" s="168"/>
      <c r="B9" s="178"/>
      <c r="C9" s="428" t="s">
        <v>316</v>
      </c>
      <c r="D9" s="428"/>
      <c r="E9" s="428"/>
      <c r="F9" s="428"/>
      <c r="G9" s="428"/>
      <c r="H9" s="428"/>
      <c r="I9" s="428"/>
      <c r="J9" s="428"/>
      <c r="K9" s="176"/>
    </row>
    <row r="10" spans="1:11" ht="15">
      <c r="A10" s="168"/>
      <c r="B10" s="178"/>
      <c r="C10" s="179"/>
      <c r="D10" s="428" t="s">
        <v>317</v>
      </c>
      <c r="E10" s="428"/>
      <c r="F10" s="428"/>
      <c r="G10" s="428"/>
      <c r="H10" s="428"/>
      <c r="I10" s="428"/>
      <c r="J10" s="428"/>
      <c r="K10" s="176"/>
    </row>
    <row r="11" spans="1:11" ht="15" customHeight="1">
      <c r="A11" s="168"/>
      <c r="B11" s="178"/>
      <c r="C11" s="180"/>
      <c r="D11" s="428" t="s">
        <v>318</v>
      </c>
      <c r="E11" s="428"/>
      <c r="F11" s="428"/>
      <c r="G11" s="428"/>
      <c r="H11" s="428"/>
      <c r="I11" s="428"/>
      <c r="J11" s="428"/>
      <c r="K11" s="176"/>
    </row>
    <row r="12" spans="1:11" ht="12.75" customHeight="1">
      <c r="A12" s="168"/>
      <c r="B12" s="178"/>
      <c r="C12" s="180"/>
      <c r="D12" s="180"/>
      <c r="E12" s="180"/>
      <c r="F12" s="180"/>
      <c r="G12" s="180"/>
      <c r="H12" s="180"/>
      <c r="I12" s="180"/>
      <c r="J12" s="180"/>
      <c r="K12" s="176"/>
    </row>
    <row r="13" spans="1:11" ht="15" customHeight="1">
      <c r="A13" s="168"/>
      <c r="B13" s="178"/>
      <c r="C13" s="180"/>
      <c r="D13" s="428" t="s">
        <v>319</v>
      </c>
      <c r="E13" s="428"/>
      <c r="F13" s="428"/>
      <c r="G13" s="428"/>
      <c r="H13" s="428"/>
      <c r="I13" s="428"/>
      <c r="J13" s="428"/>
      <c r="K13" s="176"/>
    </row>
    <row r="14" spans="1:11" ht="15" customHeight="1">
      <c r="A14" s="168"/>
      <c r="B14" s="178"/>
      <c r="C14" s="180"/>
      <c r="D14" s="428" t="s">
        <v>320</v>
      </c>
      <c r="E14" s="428"/>
      <c r="F14" s="428"/>
      <c r="G14" s="428"/>
      <c r="H14" s="428"/>
      <c r="I14" s="428"/>
      <c r="J14" s="428"/>
      <c r="K14" s="176"/>
    </row>
    <row r="15" spans="1:11" ht="15" customHeight="1">
      <c r="A15" s="168"/>
      <c r="B15" s="178"/>
      <c r="C15" s="180"/>
      <c r="D15" s="428" t="s">
        <v>321</v>
      </c>
      <c r="E15" s="428"/>
      <c r="F15" s="428"/>
      <c r="G15" s="428"/>
      <c r="H15" s="428"/>
      <c r="I15" s="428"/>
      <c r="J15" s="428"/>
      <c r="K15" s="176"/>
    </row>
    <row r="16" spans="1:11" ht="15" customHeight="1">
      <c r="A16" s="168"/>
      <c r="B16" s="178"/>
      <c r="C16" s="180"/>
      <c r="D16" s="180"/>
      <c r="E16" s="181" t="s">
        <v>41</v>
      </c>
      <c r="F16" s="428" t="s">
        <v>322</v>
      </c>
      <c r="G16" s="428"/>
      <c r="H16" s="428"/>
      <c r="I16" s="428"/>
      <c r="J16" s="428"/>
      <c r="K16" s="176"/>
    </row>
    <row r="17" spans="1:11" ht="15" customHeight="1">
      <c r="A17" s="168"/>
      <c r="B17" s="178"/>
      <c r="C17" s="180"/>
      <c r="D17" s="180"/>
      <c r="E17" s="181" t="s">
        <v>323</v>
      </c>
      <c r="F17" s="428" t="s">
        <v>324</v>
      </c>
      <c r="G17" s="428"/>
      <c r="H17" s="428"/>
      <c r="I17" s="428"/>
      <c r="J17" s="428"/>
      <c r="K17" s="176"/>
    </row>
    <row r="18" spans="1:11" ht="15" customHeight="1">
      <c r="A18" s="168"/>
      <c r="B18" s="178"/>
      <c r="C18" s="180"/>
      <c r="D18" s="180"/>
      <c r="E18" s="181" t="s">
        <v>325</v>
      </c>
      <c r="F18" s="428" t="s">
        <v>326</v>
      </c>
      <c r="G18" s="428"/>
      <c r="H18" s="428"/>
      <c r="I18" s="428"/>
      <c r="J18" s="428"/>
      <c r="K18" s="176"/>
    </row>
    <row r="19" spans="1:11" ht="15" customHeight="1">
      <c r="A19" s="168"/>
      <c r="B19" s="178"/>
      <c r="C19" s="180"/>
      <c r="D19" s="180"/>
      <c r="E19" s="181" t="s">
        <v>327</v>
      </c>
      <c r="F19" s="428" t="s">
        <v>328</v>
      </c>
      <c r="G19" s="428"/>
      <c r="H19" s="428"/>
      <c r="I19" s="428"/>
      <c r="J19" s="428"/>
      <c r="K19" s="176"/>
    </row>
    <row r="20" spans="1:11" ht="15" customHeight="1">
      <c r="A20" s="168"/>
      <c r="B20" s="178"/>
      <c r="C20" s="180"/>
      <c r="D20" s="180"/>
      <c r="E20" s="181" t="s">
        <v>299</v>
      </c>
      <c r="F20" s="428" t="s">
        <v>300</v>
      </c>
      <c r="G20" s="428"/>
      <c r="H20" s="428"/>
      <c r="I20" s="428"/>
      <c r="J20" s="428"/>
      <c r="K20" s="176"/>
    </row>
    <row r="21" spans="1:11" ht="15" customHeight="1">
      <c r="A21" s="168"/>
      <c r="B21" s="178"/>
      <c r="C21" s="180"/>
      <c r="D21" s="180"/>
      <c r="E21" s="181" t="s">
        <v>329</v>
      </c>
      <c r="F21" s="428" t="s">
        <v>330</v>
      </c>
      <c r="G21" s="428"/>
      <c r="H21" s="428"/>
      <c r="I21" s="428"/>
      <c r="J21" s="428"/>
      <c r="K21" s="176"/>
    </row>
    <row r="22" spans="1:11" ht="12.75" customHeight="1">
      <c r="A22" s="168"/>
      <c r="B22" s="178"/>
      <c r="C22" s="180"/>
      <c r="D22" s="180"/>
      <c r="E22" s="180"/>
      <c r="F22" s="180"/>
      <c r="G22" s="180"/>
      <c r="H22" s="180"/>
      <c r="I22" s="180"/>
      <c r="J22" s="180"/>
      <c r="K22" s="176"/>
    </row>
    <row r="23" spans="1:11" ht="27" customHeight="1">
      <c r="A23" s="168"/>
      <c r="B23" s="178"/>
      <c r="C23" s="428" t="s">
        <v>331</v>
      </c>
      <c r="D23" s="428"/>
      <c r="E23" s="428"/>
      <c r="F23" s="428"/>
      <c r="G23" s="428"/>
      <c r="H23" s="428"/>
      <c r="I23" s="428"/>
      <c r="J23" s="428"/>
      <c r="K23" s="176"/>
    </row>
    <row r="24" spans="1:11" ht="15" customHeight="1">
      <c r="A24" s="168"/>
      <c r="B24" s="178"/>
      <c r="C24" s="428" t="s">
        <v>332</v>
      </c>
      <c r="D24" s="428"/>
      <c r="E24" s="428"/>
      <c r="F24" s="428"/>
      <c r="G24" s="428"/>
      <c r="H24" s="428"/>
      <c r="I24" s="428"/>
      <c r="J24" s="428"/>
      <c r="K24" s="176"/>
    </row>
    <row r="25" spans="1:11" ht="15" customHeight="1">
      <c r="A25" s="168"/>
      <c r="B25" s="178"/>
      <c r="C25" s="179"/>
      <c r="D25" s="428" t="s">
        <v>333</v>
      </c>
      <c r="E25" s="428"/>
      <c r="F25" s="428"/>
      <c r="G25" s="428"/>
      <c r="H25" s="428"/>
      <c r="I25" s="428"/>
      <c r="J25" s="428"/>
      <c r="K25" s="176"/>
    </row>
    <row r="26" spans="1:11" ht="15" customHeight="1">
      <c r="A26" s="168"/>
      <c r="B26" s="178"/>
      <c r="C26" s="180"/>
      <c r="D26" s="428" t="s">
        <v>334</v>
      </c>
      <c r="E26" s="428"/>
      <c r="F26" s="428"/>
      <c r="G26" s="428"/>
      <c r="H26" s="428"/>
      <c r="I26" s="428"/>
      <c r="J26" s="428"/>
      <c r="K26" s="176"/>
    </row>
    <row r="27" spans="1:11" ht="12.75" customHeight="1">
      <c r="A27" s="168"/>
      <c r="B27" s="178"/>
      <c r="C27" s="180"/>
      <c r="D27" s="180"/>
      <c r="E27" s="180"/>
      <c r="F27" s="180"/>
      <c r="G27" s="180"/>
      <c r="H27" s="180"/>
      <c r="I27" s="180"/>
      <c r="J27" s="180"/>
      <c r="K27" s="176"/>
    </row>
    <row r="28" spans="1:11" ht="15" customHeight="1">
      <c r="A28" s="168"/>
      <c r="B28" s="178"/>
      <c r="C28" s="180"/>
      <c r="D28" s="428" t="s">
        <v>335</v>
      </c>
      <c r="E28" s="428"/>
      <c r="F28" s="428"/>
      <c r="G28" s="428"/>
      <c r="H28" s="428"/>
      <c r="I28" s="428"/>
      <c r="J28" s="428"/>
      <c r="K28" s="176"/>
    </row>
    <row r="29" spans="1:11" ht="15" customHeight="1">
      <c r="A29" s="168"/>
      <c r="B29" s="178"/>
      <c r="C29" s="180"/>
      <c r="D29" s="428" t="s">
        <v>336</v>
      </c>
      <c r="E29" s="428"/>
      <c r="F29" s="428"/>
      <c r="G29" s="428"/>
      <c r="H29" s="428"/>
      <c r="I29" s="428"/>
      <c r="J29" s="428"/>
      <c r="K29" s="176"/>
    </row>
    <row r="30" spans="1:11" ht="12.75" customHeight="1">
      <c r="A30" s="168"/>
      <c r="B30" s="178"/>
      <c r="C30" s="180"/>
      <c r="D30" s="180"/>
      <c r="E30" s="180"/>
      <c r="F30" s="180"/>
      <c r="G30" s="180"/>
      <c r="H30" s="180"/>
      <c r="I30" s="180"/>
      <c r="J30" s="180"/>
      <c r="K30" s="176"/>
    </row>
    <row r="31" spans="1:11" ht="26.45" customHeight="1">
      <c r="A31" s="168"/>
      <c r="B31" s="178"/>
      <c r="C31" s="180"/>
      <c r="D31" s="428" t="s">
        <v>337</v>
      </c>
      <c r="E31" s="428"/>
      <c r="F31" s="428"/>
      <c r="G31" s="428"/>
      <c r="H31" s="428"/>
      <c r="I31" s="428"/>
      <c r="J31" s="428"/>
      <c r="K31" s="176"/>
    </row>
    <row r="32" spans="1:11" ht="15" customHeight="1">
      <c r="A32" s="168"/>
      <c r="B32" s="178"/>
      <c r="C32" s="180"/>
      <c r="D32" s="428" t="s">
        <v>338</v>
      </c>
      <c r="E32" s="428"/>
      <c r="F32" s="428"/>
      <c r="G32" s="428"/>
      <c r="H32" s="428"/>
      <c r="I32" s="428"/>
      <c r="J32" s="428"/>
      <c r="K32" s="176"/>
    </row>
    <row r="33" spans="1:11" ht="15" customHeight="1">
      <c r="A33" s="168"/>
      <c r="B33" s="178"/>
      <c r="C33" s="180"/>
      <c r="D33" s="428" t="s">
        <v>339</v>
      </c>
      <c r="E33" s="428"/>
      <c r="F33" s="428"/>
      <c r="G33" s="428"/>
      <c r="H33" s="428"/>
      <c r="I33" s="428"/>
      <c r="J33" s="428"/>
      <c r="K33" s="176"/>
    </row>
    <row r="34" spans="1:11" ht="15" customHeight="1">
      <c r="A34" s="168"/>
      <c r="B34" s="178"/>
      <c r="C34" s="180"/>
      <c r="D34" s="179"/>
      <c r="E34" s="182" t="s">
        <v>55</v>
      </c>
      <c r="F34" s="179"/>
      <c r="G34" s="428" t="s">
        <v>340</v>
      </c>
      <c r="H34" s="428"/>
      <c r="I34" s="428"/>
      <c r="J34" s="428"/>
      <c r="K34" s="176"/>
    </row>
    <row r="35" spans="1:11" ht="30.75" customHeight="1">
      <c r="A35" s="168"/>
      <c r="B35" s="178"/>
      <c r="C35" s="180"/>
      <c r="D35" s="179"/>
      <c r="E35" s="182" t="s">
        <v>341</v>
      </c>
      <c r="F35" s="179"/>
      <c r="G35" s="428" t="s">
        <v>342</v>
      </c>
      <c r="H35" s="428"/>
      <c r="I35" s="428"/>
      <c r="J35" s="428"/>
      <c r="K35" s="176"/>
    </row>
    <row r="36" spans="1:11" ht="15" customHeight="1">
      <c r="A36" s="168"/>
      <c r="B36" s="178"/>
      <c r="C36" s="180"/>
      <c r="D36" s="179"/>
      <c r="E36" s="182" t="s">
        <v>33</v>
      </c>
      <c r="F36" s="179"/>
      <c r="G36" s="428" t="s">
        <v>343</v>
      </c>
      <c r="H36" s="428"/>
      <c r="I36" s="428"/>
      <c r="J36" s="428"/>
      <c r="K36" s="176"/>
    </row>
    <row r="37" spans="1:11" ht="15" customHeight="1">
      <c r="A37" s="168"/>
      <c r="B37" s="178"/>
      <c r="C37" s="180"/>
      <c r="D37" s="179"/>
      <c r="E37" s="182" t="s">
        <v>56</v>
      </c>
      <c r="F37" s="179"/>
      <c r="G37" s="428" t="s">
        <v>344</v>
      </c>
      <c r="H37" s="428"/>
      <c r="I37" s="428"/>
      <c r="J37" s="428"/>
      <c r="K37" s="176"/>
    </row>
    <row r="38" spans="1:11" ht="15" customHeight="1">
      <c r="A38" s="168"/>
      <c r="B38" s="178"/>
      <c r="C38" s="180"/>
      <c r="D38" s="179"/>
      <c r="E38" s="182" t="s">
        <v>57</v>
      </c>
      <c r="F38" s="179"/>
      <c r="G38" s="428" t="s">
        <v>345</v>
      </c>
      <c r="H38" s="428"/>
      <c r="I38" s="428"/>
      <c r="J38" s="428"/>
      <c r="K38" s="176"/>
    </row>
    <row r="39" spans="1:11" ht="15" customHeight="1">
      <c r="A39" s="168"/>
      <c r="B39" s="178"/>
      <c r="C39" s="180"/>
      <c r="D39" s="179"/>
      <c r="E39" s="182" t="s">
        <v>58</v>
      </c>
      <c r="F39" s="179"/>
      <c r="G39" s="428" t="s">
        <v>346</v>
      </c>
      <c r="H39" s="428"/>
      <c r="I39" s="428"/>
      <c r="J39" s="428"/>
      <c r="K39" s="176"/>
    </row>
    <row r="40" spans="1:11" ht="15" customHeight="1">
      <c r="A40" s="168"/>
      <c r="B40" s="178"/>
      <c r="C40" s="180"/>
      <c r="D40" s="179"/>
      <c r="E40" s="182" t="s">
        <v>347</v>
      </c>
      <c r="F40" s="179"/>
      <c r="G40" s="428" t="s">
        <v>348</v>
      </c>
      <c r="H40" s="428"/>
      <c r="I40" s="428"/>
      <c r="J40" s="428"/>
      <c r="K40" s="176"/>
    </row>
    <row r="41" spans="1:11" ht="15" customHeight="1">
      <c r="A41" s="168"/>
      <c r="B41" s="178"/>
      <c r="C41" s="180"/>
      <c r="D41" s="179"/>
      <c r="E41" s="182"/>
      <c r="F41" s="179"/>
      <c r="G41" s="428" t="s">
        <v>349</v>
      </c>
      <c r="H41" s="428"/>
      <c r="I41" s="428"/>
      <c r="J41" s="428"/>
      <c r="K41" s="176"/>
    </row>
    <row r="42" spans="1:11" ht="15" customHeight="1">
      <c r="A42" s="168"/>
      <c r="B42" s="178"/>
      <c r="C42" s="180"/>
      <c r="D42" s="179"/>
      <c r="E42" s="182" t="s">
        <v>350</v>
      </c>
      <c r="F42" s="179"/>
      <c r="G42" s="428" t="s">
        <v>351</v>
      </c>
      <c r="H42" s="428"/>
      <c r="I42" s="428"/>
      <c r="J42" s="428"/>
      <c r="K42" s="176"/>
    </row>
    <row r="43" spans="1:11" ht="15" customHeight="1">
      <c r="A43" s="168"/>
      <c r="B43" s="178"/>
      <c r="C43" s="180"/>
      <c r="D43" s="179"/>
      <c r="E43" s="182" t="s">
        <v>60</v>
      </c>
      <c r="F43" s="179"/>
      <c r="G43" s="428" t="s">
        <v>352</v>
      </c>
      <c r="H43" s="428"/>
      <c r="I43" s="428"/>
      <c r="J43" s="428"/>
      <c r="K43" s="176"/>
    </row>
    <row r="44" spans="1:11" ht="12.75" customHeight="1">
      <c r="A44" s="168"/>
      <c r="B44" s="178"/>
      <c r="C44" s="180"/>
      <c r="D44" s="179"/>
      <c r="E44" s="179"/>
      <c r="F44" s="179"/>
      <c r="G44" s="179"/>
      <c r="H44" s="179"/>
      <c r="I44" s="179"/>
      <c r="J44" s="179"/>
      <c r="K44" s="176"/>
    </row>
    <row r="45" spans="1:11" ht="15" customHeight="1">
      <c r="A45" s="168"/>
      <c r="B45" s="178"/>
      <c r="C45" s="180"/>
      <c r="D45" s="428" t="s">
        <v>353</v>
      </c>
      <c r="E45" s="428"/>
      <c r="F45" s="428"/>
      <c r="G45" s="428"/>
      <c r="H45" s="428"/>
      <c r="I45" s="428"/>
      <c r="J45" s="428"/>
      <c r="K45" s="176"/>
    </row>
    <row r="46" spans="1:11" ht="15" customHeight="1">
      <c r="A46" s="168"/>
      <c r="B46" s="178"/>
      <c r="C46" s="180"/>
      <c r="D46" s="180"/>
      <c r="E46" s="428" t="s">
        <v>354</v>
      </c>
      <c r="F46" s="428"/>
      <c r="G46" s="428"/>
      <c r="H46" s="428"/>
      <c r="I46" s="428"/>
      <c r="J46" s="428"/>
      <c r="K46" s="176"/>
    </row>
    <row r="47" spans="1:11" ht="15" customHeight="1">
      <c r="A47" s="168"/>
      <c r="B47" s="178"/>
      <c r="C47" s="180"/>
      <c r="D47" s="180"/>
      <c r="E47" s="428" t="s">
        <v>355</v>
      </c>
      <c r="F47" s="428"/>
      <c r="G47" s="428"/>
      <c r="H47" s="428"/>
      <c r="I47" s="428"/>
      <c r="J47" s="428"/>
      <c r="K47" s="176"/>
    </row>
    <row r="48" spans="1:11" ht="15" customHeight="1">
      <c r="A48" s="168"/>
      <c r="B48" s="178"/>
      <c r="C48" s="180"/>
      <c r="D48" s="180"/>
      <c r="E48" s="428" t="s">
        <v>356</v>
      </c>
      <c r="F48" s="428"/>
      <c r="G48" s="428"/>
      <c r="H48" s="428"/>
      <c r="I48" s="428"/>
      <c r="J48" s="428"/>
      <c r="K48" s="176"/>
    </row>
    <row r="49" spans="1:11" ht="15" customHeight="1">
      <c r="A49" s="168"/>
      <c r="B49" s="178"/>
      <c r="C49" s="180"/>
      <c r="D49" s="428" t="s">
        <v>357</v>
      </c>
      <c r="E49" s="428"/>
      <c r="F49" s="428"/>
      <c r="G49" s="428"/>
      <c r="H49" s="428"/>
      <c r="I49" s="428"/>
      <c r="J49" s="428"/>
      <c r="K49" s="176"/>
    </row>
    <row r="50" spans="1:11" ht="25.5" customHeight="1">
      <c r="A50" s="168"/>
      <c r="B50" s="175"/>
      <c r="C50" s="430" t="s">
        <v>358</v>
      </c>
      <c r="D50" s="430"/>
      <c r="E50" s="430"/>
      <c r="F50" s="430"/>
      <c r="G50" s="430"/>
      <c r="H50" s="430"/>
      <c r="I50" s="430"/>
      <c r="J50" s="430"/>
      <c r="K50" s="176"/>
    </row>
    <row r="51" spans="1:11" ht="5.25" customHeight="1">
      <c r="A51" s="168"/>
      <c r="B51" s="175"/>
      <c r="C51" s="177"/>
      <c r="D51" s="177"/>
      <c r="E51" s="177"/>
      <c r="F51" s="177"/>
      <c r="G51" s="177"/>
      <c r="H51" s="177"/>
      <c r="I51" s="177"/>
      <c r="J51" s="177"/>
      <c r="K51" s="176"/>
    </row>
    <row r="52" spans="1:11" ht="15" customHeight="1">
      <c r="A52" s="168"/>
      <c r="B52" s="175"/>
      <c r="C52" s="428" t="s">
        <v>359</v>
      </c>
      <c r="D52" s="428"/>
      <c r="E52" s="428"/>
      <c r="F52" s="428"/>
      <c r="G52" s="428"/>
      <c r="H52" s="428"/>
      <c r="I52" s="428"/>
      <c r="J52" s="428"/>
      <c r="K52" s="176"/>
    </row>
    <row r="53" spans="1:11" ht="15" customHeight="1">
      <c r="A53" s="168"/>
      <c r="B53" s="175"/>
      <c r="C53" s="428" t="s">
        <v>360</v>
      </c>
      <c r="D53" s="428"/>
      <c r="E53" s="428"/>
      <c r="F53" s="428"/>
      <c r="G53" s="428"/>
      <c r="H53" s="428"/>
      <c r="I53" s="428"/>
      <c r="J53" s="428"/>
      <c r="K53" s="176"/>
    </row>
    <row r="54" spans="1:11" ht="12.75" customHeight="1">
      <c r="A54" s="168"/>
      <c r="B54" s="175"/>
      <c r="C54" s="179"/>
      <c r="D54" s="179"/>
      <c r="E54" s="179"/>
      <c r="F54" s="179"/>
      <c r="G54" s="179"/>
      <c r="H54" s="179"/>
      <c r="I54" s="179"/>
      <c r="J54" s="179"/>
      <c r="K54" s="176"/>
    </row>
    <row r="55" spans="1:11" ht="15" customHeight="1">
      <c r="A55" s="168"/>
      <c r="B55" s="175"/>
      <c r="C55" s="428" t="s">
        <v>361</v>
      </c>
      <c r="D55" s="428"/>
      <c r="E55" s="428"/>
      <c r="F55" s="428"/>
      <c r="G55" s="428"/>
      <c r="H55" s="428"/>
      <c r="I55" s="428"/>
      <c r="J55" s="428"/>
      <c r="K55" s="176"/>
    </row>
    <row r="56" spans="1:11" ht="15" customHeight="1">
      <c r="A56" s="168"/>
      <c r="B56" s="175"/>
      <c r="C56" s="180"/>
      <c r="D56" s="428" t="s">
        <v>362</v>
      </c>
      <c r="E56" s="428"/>
      <c r="F56" s="428"/>
      <c r="G56" s="428"/>
      <c r="H56" s="428"/>
      <c r="I56" s="428"/>
      <c r="J56" s="428"/>
      <c r="K56" s="176"/>
    </row>
    <row r="57" spans="1:11" ht="15" customHeight="1">
      <c r="A57" s="168"/>
      <c r="B57" s="175"/>
      <c r="C57" s="180"/>
      <c r="D57" s="428" t="s">
        <v>363</v>
      </c>
      <c r="E57" s="428"/>
      <c r="F57" s="428"/>
      <c r="G57" s="428"/>
      <c r="H57" s="428"/>
      <c r="I57" s="428"/>
      <c r="J57" s="428"/>
      <c r="K57" s="176"/>
    </row>
    <row r="58" spans="1:11" ht="15" customHeight="1">
      <c r="A58" s="168"/>
      <c r="B58" s="175"/>
      <c r="C58" s="180"/>
      <c r="D58" s="428" t="s">
        <v>364</v>
      </c>
      <c r="E58" s="428"/>
      <c r="F58" s="428"/>
      <c r="G58" s="428"/>
      <c r="H58" s="428"/>
      <c r="I58" s="428"/>
      <c r="J58" s="428"/>
      <c r="K58" s="176"/>
    </row>
    <row r="59" spans="1:11" ht="15" customHeight="1">
      <c r="A59" s="168"/>
      <c r="B59" s="175"/>
      <c r="C59" s="180"/>
      <c r="D59" s="428" t="s">
        <v>365</v>
      </c>
      <c r="E59" s="428"/>
      <c r="F59" s="428"/>
      <c r="G59" s="428"/>
      <c r="H59" s="428"/>
      <c r="I59" s="428"/>
      <c r="J59" s="428"/>
      <c r="K59" s="176"/>
    </row>
    <row r="60" spans="1:11" ht="15" customHeight="1">
      <c r="A60" s="168"/>
      <c r="B60" s="175"/>
      <c r="C60" s="180"/>
      <c r="D60" s="432" t="s">
        <v>366</v>
      </c>
      <c r="E60" s="432"/>
      <c r="F60" s="432"/>
      <c r="G60" s="432"/>
      <c r="H60" s="432"/>
      <c r="I60" s="432"/>
      <c r="J60" s="432"/>
      <c r="K60" s="176"/>
    </row>
    <row r="61" spans="1:11" ht="15" customHeight="1">
      <c r="A61" s="168"/>
      <c r="B61" s="175"/>
      <c r="C61" s="180"/>
      <c r="D61" s="428" t="s">
        <v>367</v>
      </c>
      <c r="E61" s="428"/>
      <c r="F61" s="428"/>
      <c r="G61" s="428"/>
      <c r="H61" s="428"/>
      <c r="I61" s="428"/>
      <c r="J61" s="428"/>
      <c r="K61" s="176"/>
    </row>
    <row r="62" spans="1:11" ht="12.75" customHeight="1">
      <c r="A62" s="168"/>
      <c r="B62" s="175"/>
      <c r="C62" s="180"/>
      <c r="D62" s="180"/>
      <c r="E62" s="183"/>
      <c r="F62" s="180"/>
      <c r="G62" s="180"/>
      <c r="H62" s="180"/>
      <c r="I62" s="180"/>
      <c r="J62" s="180"/>
      <c r="K62" s="176"/>
    </row>
    <row r="63" spans="1:11" ht="15" customHeight="1">
      <c r="A63" s="168"/>
      <c r="B63" s="175"/>
      <c r="C63" s="180"/>
      <c r="D63" s="428" t="s">
        <v>368</v>
      </c>
      <c r="E63" s="428"/>
      <c r="F63" s="428"/>
      <c r="G63" s="428"/>
      <c r="H63" s="428"/>
      <c r="I63" s="428"/>
      <c r="J63" s="428"/>
      <c r="K63" s="176"/>
    </row>
    <row r="64" spans="1:11" ht="15" customHeight="1">
      <c r="A64" s="168"/>
      <c r="B64" s="175"/>
      <c r="C64" s="180"/>
      <c r="D64" s="432" t="s">
        <v>369</v>
      </c>
      <c r="E64" s="432"/>
      <c r="F64" s="432"/>
      <c r="G64" s="432"/>
      <c r="H64" s="432"/>
      <c r="I64" s="432"/>
      <c r="J64" s="432"/>
      <c r="K64" s="176"/>
    </row>
    <row r="65" spans="1:11" ht="15" customHeight="1">
      <c r="A65" s="168"/>
      <c r="B65" s="175"/>
      <c r="C65" s="180"/>
      <c r="D65" s="428" t="s">
        <v>370</v>
      </c>
      <c r="E65" s="428"/>
      <c r="F65" s="428"/>
      <c r="G65" s="428"/>
      <c r="H65" s="428"/>
      <c r="I65" s="428"/>
      <c r="J65" s="428"/>
      <c r="K65" s="176"/>
    </row>
    <row r="66" spans="1:11" ht="15" customHeight="1">
      <c r="A66" s="168"/>
      <c r="B66" s="175"/>
      <c r="C66" s="180"/>
      <c r="D66" s="428" t="s">
        <v>371</v>
      </c>
      <c r="E66" s="428"/>
      <c r="F66" s="428"/>
      <c r="G66" s="428"/>
      <c r="H66" s="428"/>
      <c r="I66" s="428"/>
      <c r="J66" s="428"/>
      <c r="K66" s="176"/>
    </row>
    <row r="67" spans="1:11" ht="15" customHeight="1">
      <c r="A67" s="168"/>
      <c r="B67" s="175"/>
      <c r="C67" s="180"/>
      <c r="D67" s="428" t="s">
        <v>372</v>
      </c>
      <c r="E67" s="428"/>
      <c r="F67" s="428"/>
      <c r="G67" s="428"/>
      <c r="H67" s="428"/>
      <c r="I67" s="428"/>
      <c r="J67" s="428"/>
      <c r="K67" s="176"/>
    </row>
    <row r="68" spans="1:11" ht="15" customHeight="1">
      <c r="A68" s="168"/>
      <c r="B68" s="175"/>
      <c r="C68" s="180"/>
      <c r="D68" s="428" t="s">
        <v>373</v>
      </c>
      <c r="E68" s="428"/>
      <c r="F68" s="428"/>
      <c r="G68" s="428"/>
      <c r="H68" s="428"/>
      <c r="I68" s="428"/>
      <c r="J68" s="428"/>
      <c r="K68" s="176"/>
    </row>
    <row r="69" spans="1:11" ht="12.75" customHeight="1">
      <c r="A69" s="168"/>
      <c r="B69" s="184"/>
      <c r="C69" s="185"/>
      <c r="D69" s="185"/>
      <c r="E69" s="185"/>
      <c r="F69" s="185"/>
      <c r="G69" s="185"/>
      <c r="H69" s="185"/>
      <c r="I69" s="185"/>
      <c r="J69" s="185"/>
      <c r="K69" s="186"/>
    </row>
    <row r="70" spans="1:11" ht="18.75" customHeight="1">
      <c r="A70" s="168"/>
      <c r="B70" s="187"/>
      <c r="C70" s="187"/>
      <c r="D70" s="187"/>
      <c r="E70" s="187"/>
      <c r="F70" s="187"/>
      <c r="G70" s="187"/>
      <c r="H70" s="187"/>
      <c r="I70" s="187"/>
      <c r="J70" s="187"/>
      <c r="K70" s="187"/>
    </row>
    <row r="71" spans="1:11" ht="18.75" customHeight="1">
      <c r="A71" s="168"/>
      <c r="B71" s="187"/>
      <c r="C71" s="187"/>
      <c r="D71" s="187"/>
      <c r="E71" s="187"/>
      <c r="F71" s="187"/>
      <c r="G71" s="187"/>
      <c r="H71" s="187"/>
      <c r="I71" s="187"/>
      <c r="J71" s="187"/>
      <c r="K71" s="187"/>
    </row>
    <row r="72" spans="1:11" ht="7.5" customHeight="1">
      <c r="A72" s="168"/>
      <c r="B72" s="188"/>
      <c r="C72" s="189"/>
      <c r="D72" s="189"/>
      <c r="E72" s="189"/>
      <c r="F72" s="189"/>
      <c r="G72" s="189"/>
      <c r="H72" s="189"/>
      <c r="I72" s="189"/>
      <c r="J72" s="189"/>
      <c r="K72" s="190"/>
    </row>
    <row r="73" spans="1:11" ht="45" customHeight="1">
      <c r="A73" s="168"/>
      <c r="B73" s="191"/>
      <c r="C73" s="431" t="s">
        <v>311</v>
      </c>
      <c r="D73" s="431"/>
      <c r="E73" s="431"/>
      <c r="F73" s="431"/>
      <c r="G73" s="431"/>
      <c r="H73" s="431"/>
      <c r="I73" s="431"/>
      <c r="J73" s="431"/>
      <c r="K73" s="192"/>
    </row>
    <row r="74" spans="1:11" ht="17.25" customHeight="1">
      <c r="A74" s="168"/>
      <c r="B74" s="191"/>
      <c r="C74" s="193" t="s">
        <v>374</v>
      </c>
      <c r="D74" s="193"/>
      <c r="E74" s="193"/>
      <c r="F74" s="193" t="s">
        <v>375</v>
      </c>
      <c r="G74" s="194"/>
      <c r="H74" s="193" t="s">
        <v>56</v>
      </c>
      <c r="I74" s="193" t="s">
        <v>37</v>
      </c>
      <c r="J74" s="193" t="s">
        <v>376</v>
      </c>
      <c r="K74" s="192"/>
    </row>
    <row r="75" spans="1:11" ht="17.25" customHeight="1">
      <c r="A75" s="168"/>
      <c r="B75" s="191"/>
      <c r="C75" s="195" t="s">
        <v>377</v>
      </c>
      <c r="D75" s="195"/>
      <c r="E75" s="195"/>
      <c r="F75" s="196" t="s">
        <v>378</v>
      </c>
      <c r="G75" s="197"/>
      <c r="H75" s="195"/>
      <c r="I75" s="195"/>
      <c r="J75" s="195" t="s">
        <v>379</v>
      </c>
      <c r="K75" s="192"/>
    </row>
    <row r="76" spans="1:11" ht="5.25" customHeight="1">
      <c r="A76" s="168"/>
      <c r="B76" s="191"/>
      <c r="C76" s="198"/>
      <c r="D76" s="198"/>
      <c r="E76" s="198"/>
      <c r="F76" s="198"/>
      <c r="G76" s="182"/>
      <c r="H76" s="198"/>
      <c r="I76" s="198"/>
      <c r="J76" s="198"/>
      <c r="K76" s="192"/>
    </row>
    <row r="77" spans="1:11" ht="15" customHeight="1">
      <c r="A77" s="168"/>
      <c r="B77" s="191"/>
      <c r="C77" s="182" t="s">
        <v>33</v>
      </c>
      <c r="D77" s="198"/>
      <c r="E77" s="198"/>
      <c r="F77" s="199" t="s">
        <v>380</v>
      </c>
      <c r="G77" s="182"/>
      <c r="H77" s="182" t="s">
        <v>381</v>
      </c>
      <c r="I77" s="182" t="s">
        <v>382</v>
      </c>
      <c r="J77" s="182">
        <v>20</v>
      </c>
      <c r="K77" s="192"/>
    </row>
    <row r="78" spans="1:11" ht="15" customHeight="1">
      <c r="A78" s="168"/>
      <c r="B78" s="191"/>
      <c r="C78" s="182" t="s">
        <v>383</v>
      </c>
      <c r="D78" s="182"/>
      <c r="E78" s="182"/>
      <c r="F78" s="199" t="s">
        <v>380</v>
      </c>
      <c r="G78" s="182"/>
      <c r="H78" s="182" t="s">
        <v>384</v>
      </c>
      <c r="I78" s="182" t="s">
        <v>382</v>
      </c>
      <c r="J78" s="182">
        <v>120</v>
      </c>
      <c r="K78" s="192"/>
    </row>
    <row r="79" spans="1:11" ht="15" customHeight="1">
      <c r="A79" s="168"/>
      <c r="B79" s="200"/>
      <c r="C79" s="182" t="s">
        <v>385</v>
      </c>
      <c r="D79" s="182"/>
      <c r="E79" s="182"/>
      <c r="F79" s="199" t="s">
        <v>386</v>
      </c>
      <c r="G79" s="182"/>
      <c r="H79" s="182" t="s">
        <v>387</v>
      </c>
      <c r="I79" s="182" t="s">
        <v>382</v>
      </c>
      <c r="J79" s="182">
        <v>50</v>
      </c>
      <c r="K79" s="192"/>
    </row>
    <row r="80" spans="1:11" ht="15" customHeight="1">
      <c r="A80" s="168"/>
      <c r="B80" s="200"/>
      <c r="C80" s="182" t="s">
        <v>388</v>
      </c>
      <c r="D80" s="182"/>
      <c r="E80" s="182"/>
      <c r="F80" s="199" t="s">
        <v>380</v>
      </c>
      <c r="G80" s="182"/>
      <c r="H80" s="182" t="s">
        <v>389</v>
      </c>
      <c r="I80" s="182" t="s">
        <v>390</v>
      </c>
      <c r="J80" s="182"/>
      <c r="K80" s="192"/>
    </row>
    <row r="81" spans="1:11" ht="15" customHeight="1">
      <c r="A81" s="168"/>
      <c r="B81" s="200"/>
      <c r="C81" s="182" t="s">
        <v>391</v>
      </c>
      <c r="D81" s="182"/>
      <c r="E81" s="182"/>
      <c r="F81" s="199" t="s">
        <v>386</v>
      </c>
      <c r="G81" s="182"/>
      <c r="H81" s="182" t="s">
        <v>392</v>
      </c>
      <c r="I81" s="182" t="s">
        <v>382</v>
      </c>
      <c r="J81" s="182">
        <v>15</v>
      </c>
      <c r="K81" s="192"/>
    </row>
    <row r="82" spans="1:11" ht="15" customHeight="1">
      <c r="A82" s="168"/>
      <c r="B82" s="200"/>
      <c r="C82" s="182" t="s">
        <v>393</v>
      </c>
      <c r="D82" s="182"/>
      <c r="E82" s="182"/>
      <c r="F82" s="199" t="s">
        <v>386</v>
      </c>
      <c r="G82" s="182"/>
      <c r="H82" s="182" t="s">
        <v>394</v>
      </c>
      <c r="I82" s="182" t="s">
        <v>382</v>
      </c>
      <c r="J82" s="182">
        <v>15</v>
      </c>
      <c r="K82" s="192"/>
    </row>
    <row r="83" spans="1:11" ht="15" customHeight="1">
      <c r="A83" s="168"/>
      <c r="B83" s="200"/>
      <c r="C83" s="182" t="s">
        <v>395</v>
      </c>
      <c r="D83" s="182"/>
      <c r="E83" s="182"/>
      <c r="F83" s="199" t="s">
        <v>386</v>
      </c>
      <c r="G83" s="182"/>
      <c r="H83" s="182" t="s">
        <v>396</v>
      </c>
      <c r="I83" s="182" t="s">
        <v>382</v>
      </c>
      <c r="J83" s="182">
        <v>20</v>
      </c>
      <c r="K83" s="192"/>
    </row>
    <row r="84" spans="1:11" ht="15" customHeight="1">
      <c r="A84" s="168"/>
      <c r="B84" s="200"/>
      <c r="C84" s="182" t="s">
        <v>397</v>
      </c>
      <c r="D84" s="182"/>
      <c r="E84" s="182"/>
      <c r="F84" s="199" t="s">
        <v>386</v>
      </c>
      <c r="G84" s="182"/>
      <c r="H84" s="182" t="s">
        <v>398</v>
      </c>
      <c r="I84" s="182" t="s">
        <v>382</v>
      </c>
      <c r="J84" s="182">
        <v>20</v>
      </c>
      <c r="K84" s="192"/>
    </row>
    <row r="85" spans="1:11" ht="15" customHeight="1">
      <c r="A85" s="168"/>
      <c r="B85" s="200"/>
      <c r="C85" s="182" t="s">
        <v>399</v>
      </c>
      <c r="D85" s="182"/>
      <c r="E85" s="182"/>
      <c r="F85" s="199" t="s">
        <v>386</v>
      </c>
      <c r="G85" s="182"/>
      <c r="H85" s="182" t="s">
        <v>400</v>
      </c>
      <c r="I85" s="182" t="s">
        <v>382</v>
      </c>
      <c r="J85" s="182">
        <v>50</v>
      </c>
      <c r="K85" s="192"/>
    </row>
    <row r="86" spans="1:11" ht="15" customHeight="1">
      <c r="A86" s="168"/>
      <c r="B86" s="200"/>
      <c r="C86" s="182" t="s">
        <v>401</v>
      </c>
      <c r="D86" s="182"/>
      <c r="E86" s="182"/>
      <c r="F86" s="199" t="s">
        <v>386</v>
      </c>
      <c r="G86" s="182"/>
      <c r="H86" s="182" t="s">
        <v>402</v>
      </c>
      <c r="I86" s="182" t="s">
        <v>382</v>
      </c>
      <c r="J86" s="182">
        <v>20</v>
      </c>
      <c r="K86" s="192"/>
    </row>
    <row r="87" spans="1:11" ht="15" customHeight="1">
      <c r="A87" s="168"/>
      <c r="B87" s="200"/>
      <c r="C87" s="182" t="s">
        <v>403</v>
      </c>
      <c r="D87" s="182"/>
      <c r="E87" s="182"/>
      <c r="F87" s="199" t="s">
        <v>386</v>
      </c>
      <c r="G87" s="182"/>
      <c r="H87" s="182" t="s">
        <v>404</v>
      </c>
      <c r="I87" s="182" t="s">
        <v>382</v>
      </c>
      <c r="J87" s="182">
        <v>20</v>
      </c>
      <c r="K87" s="192"/>
    </row>
    <row r="88" spans="1:11" ht="15" customHeight="1">
      <c r="A88" s="168"/>
      <c r="B88" s="200"/>
      <c r="C88" s="182" t="s">
        <v>405</v>
      </c>
      <c r="D88" s="182"/>
      <c r="E88" s="182"/>
      <c r="F88" s="199" t="s">
        <v>386</v>
      </c>
      <c r="G88" s="182"/>
      <c r="H88" s="182" t="s">
        <v>406</v>
      </c>
      <c r="I88" s="182" t="s">
        <v>382</v>
      </c>
      <c r="J88" s="182">
        <v>50</v>
      </c>
      <c r="K88" s="192"/>
    </row>
    <row r="89" spans="1:11" ht="15" customHeight="1">
      <c r="A89" s="168"/>
      <c r="B89" s="200"/>
      <c r="C89" s="182" t="s">
        <v>407</v>
      </c>
      <c r="D89" s="182"/>
      <c r="E89" s="182"/>
      <c r="F89" s="199" t="s">
        <v>386</v>
      </c>
      <c r="G89" s="182"/>
      <c r="H89" s="182" t="s">
        <v>407</v>
      </c>
      <c r="I89" s="182" t="s">
        <v>382</v>
      </c>
      <c r="J89" s="182">
        <v>50</v>
      </c>
      <c r="K89" s="192"/>
    </row>
    <row r="90" spans="1:11" ht="15" customHeight="1">
      <c r="A90" s="168"/>
      <c r="B90" s="200"/>
      <c r="C90" s="182" t="s">
        <v>61</v>
      </c>
      <c r="D90" s="182"/>
      <c r="E90" s="182"/>
      <c r="F90" s="199" t="s">
        <v>386</v>
      </c>
      <c r="G90" s="182"/>
      <c r="H90" s="182" t="s">
        <v>408</v>
      </c>
      <c r="I90" s="182" t="s">
        <v>382</v>
      </c>
      <c r="J90" s="182">
        <v>255</v>
      </c>
      <c r="K90" s="192"/>
    </row>
    <row r="91" spans="1:11" ht="15" customHeight="1">
      <c r="A91" s="168"/>
      <c r="B91" s="200"/>
      <c r="C91" s="182" t="s">
        <v>409</v>
      </c>
      <c r="D91" s="182"/>
      <c r="E91" s="182"/>
      <c r="F91" s="199" t="s">
        <v>380</v>
      </c>
      <c r="G91" s="182"/>
      <c r="H91" s="182" t="s">
        <v>410</v>
      </c>
      <c r="I91" s="182" t="s">
        <v>411</v>
      </c>
      <c r="J91" s="182"/>
      <c r="K91" s="192"/>
    </row>
    <row r="92" spans="1:11" ht="15" customHeight="1">
      <c r="A92" s="168"/>
      <c r="B92" s="200"/>
      <c r="C92" s="182" t="s">
        <v>412</v>
      </c>
      <c r="D92" s="182"/>
      <c r="E92" s="182"/>
      <c r="F92" s="199" t="s">
        <v>380</v>
      </c>
      <c r="G92" s="182"/>
      <c r="H92" s="182" t="s">
        <v>413</v>
      </c>
      <c r="I92" s="182" t="s">
        <v>414</v>
      </c>
      <c r="J92" s="182"/>
      <c r="K92" s="192"/>
    </row>
    <row r="93" spans="1:11" ht="15" customHeight="1">
      <c r="A93" s="168"/>
      <c r="B93" s="200"/>
      <c r="C93" s="182" t="s">
        <v>415</v>
      </c>
      <c r="D93" s="182"/>
      <c r="E93" s="182"/>
      <c r="F93" s="199" t="s">
        <v>380</v>
      </c>
      <c r="G93" s="182"/>
      <c r="H93" s="182" t="s">
        <v>415</v>
      </c>
      <c r="I93" s="182" t="s">
        <v>414</v>
      </c>
      <c r="J93" s="182"/>
      <c r="K93" s="192"/>
    </row>
    <row r="94" spans="1:11" ht="15" customHeight="1">
      <c r="A94" s="168"/>
      <c r="B94" s="200"/>
      <c r="C94" s="182" t="s">
        <v>19</v>
      </c>
      <c r="D94" s="182"/>
      <c r="E94" s="182"/>
      <c r="F94" s="199" t="s">
        <v>380</v>
      </c>
      <c r="G94" s="182"/>
      <c r="H94" s="182" t="s">
        <v>416</v>
      </c>
      <c r="I94" s="182" t="s">
        <v>414</v>
      </c>
      <c r="J94" s="182"/>
      <c r="K94" s="192"/>
    </row>
    <row r="95" spans="1:11" ht="15" customHeight="1">
      <c r="A95" s="168"/>
      <c r="B95" s="200"/>
      <c r="C95" s="182" t="s">
        <v>29</v>
      </c>
      <c r="D95" s="182"/>
      <c r="E95" s="182"/>
      <c r="F95" s="199" t="s">
        <v>380</v>
      </c>
      <c r="G95" s="182"/>
      <c r="H95" s="182" t="s">
        <v>417</v>
      </c>
      <c r="I95" s="182" t="s">
        <v>414</v>
      </c>
      <c r="J95" s="182"/>
      <c r="K95" s="192"/>
    </row>
    <row r="96" spans="1:11" ht="15" customHeight="1">
      <c r="A96" s="168"/>
      <c r="B96" s="201"/>
      <c r="C96" s="202"/>
      <c r="D96" s="202"/>
      <c r="E96" s="202"/>
      <c r="F96" s="202"/>
      <c r="G96" s="202"/>
      <c r="H96" s="202"/>
      <c r="I96" s="202"/>
      <c r="J96" s="202"/>
      <c r="K96" s="203"/>
    </row>
    <row r="97" spans="1:11" ht="18.75" customHeight="1">
      <c r="A97" s="168"/>
      <c r="B97" s="204"/>
      <c r="C97" s="205"/>
      <c r="D97" s="205"/>
      <c r="E97" s="205"/>
      <c r="F97" s="205"/>
      <c r="G97" s="205"/>
      <c r="H97" s="205"/>
      <c r="I97" s="205"/>
      <c r="J97" s="205"/>
      <c r="K97" s="204"/>
    </row>
    <row r="98" spans="1:11" ht="18.75" customHeight="1">
      <c r="A98" s="168"/>
      <c r="B98" s="187"/>
      <c r="C98" s="187"/>
      <c r="D98" s="187"/>
      <c r="E98" s="187"/>
      <c r="F98" s="187"/>
      <c r="G98" s="187"/>
      <c r="H98" s="187"/>
      <c r="I98" s="187"/>
      <c r="J98" s="187"/>
      <c r="K98" s="187"/>
    </row>
    <row r="99" spans="1:11" ht="7.5" customHeight="1">
      <c r="A99" s="168"/>
      <c r="B99" s="188"/>
      <c r="C99" s="189"/>
      <c r="D99" s="189"/>
      <c r="E99" s="189"/>
      <c r="F99" s="189"/>
      <c r="G99" s="189"/>
      <c r="H99" s="189"/>
      <c r="I99" s="189"/>
      <c r="J99" s="189"/>
      <c r="K99" s="190"/>
    </row>
    <row r="100" spans="1:11" ht="45" customHeight="1">
      <c r="A100" s="168"/>
      <c r="B100" s="191"/>
      <c r="C100" s="431" t="s">
        <v>418</v>
      </c>
      <c r="D100" s="431"/>
      <c r="E100" s="431"/>
      <c r="F100" s="431"/>
      <c r="G100" s="431"/>
      <c r="H100" s="431"/>
      <c r="I100" s="431"/>
      <c r="J100" s="431"/>
      <c r="K100" s="192"/>
    </row>
    <row r="101" spans="1:11" ht="17.25" customHeight="1">
      <c r="A101" s="168"/>
      <c r="B101" s="191"/>
      <c r="C101" s="193" t="s">
        <v>374</v>
      </c>
      <c r="D101" s="193"/>
      <c r="E101" s="193"/>
      <c r="F101" s="193" t="s">
        <v>375</v>
      </c>
      <c r="G101" s="194"/>
      <c r="H101" s="193" t="s">
        <v>56</v>
      </c>
      <c r="I101" s="193" t="s">
        <v>37</v>
      </c>
      <c r="J101" s="193" t="s">
        <v>376</v>
      </c>
      <c r="K101" s="192"/>
    </row>
    <row r="102" spans="1:11" ht="17.25" customHeight="1">
      <c r="A102" s="168"/>
      <c r="B102" s="191"/>
      <c r="C102" s="195" t="s">
        <v>377</v>
      </c>
      <c r="D102" s="195"/>
      <c r="E102" s="195"/>
      <c r="F102" s="196" t="s">
        <v>378</v>
      </c>
      <c r="G102" s="197"/>
      <c r="H102" s="195"/>
      <c r="I102" s="195"/>
      <c r="J102" s="195" t="s">
        <v>379</v>
      </c>
      <c r="K102" s="192"/>
    </row>
    <row r="103" spans="1:11" ht="5.25" customHeight="1">
      <c r="A103" s="168"/>
      <c r="B103" s="191"/>
      <c r="C103" s="193"/>
      <c r="D103" s="193"/>
      <c r="E103" s="193"/>
      <c r="F103" s="193"/>
      <c r="G103" s="194"/>
      <c r="H103" s="193"/>
      <c r="I103" s="193"/>
      <c r="J103" s="193"/>
      <c r="K103" s="192"/>
    </row>
    <row r="104" spans="1:11" ht="15" customHeight="1">
      <c r="A104" s="168"/>
      <c r="B104" s="191"/>
      <c r="C104" s="182" t="s">
        <v>33</v>
      </c>
      <c r="D104" s="198"/>
      <c r="E104" s="198"/>
      <c r="F104" s="199" t="s">
        <v>380</v>
      </c>
      <c r="G104" s="194"/>
      <c r="H104" s="182" t="s">
        <v>419</v>
      </c>
      <c r="I104" s="182" t="s">
        <v>382</v>
      </c>
      <c r="J104" s="182">
        <v>20</v>
      </c>
      <c r="K104" s="192"/>
    </row>
    <row r="105" spans="1:11" ht="15" customHeight="1">
      <c r="A105" s="168"/>
      <c r="B105" s="191"/>
      <c r="C105" s="182" t="s">
        <v>383</v>
      </c>
      <c r="D105" s="182"/>
      <c r="E105" s="182"/>
      <c r="F105" s="199" t="s">
        <v>380</v>
      </c>
      <c r="G105" s="182"/>
      <c r="H105" s="182" t="s">
        <v>419</v>
      </c>
      <c r="I105" s="182" t="s">
        <v>382</v>
      </c>
      <c r="J105" s="182">
        <v>120</v>
      </c>
      <c r="K105" s="192"/>
    </row>
    <row r="106" spans="1:11" ht="15" customHeight="1">
      <c r="A106" s="168"/>
      <c r="B106" s="200"/>
      <c r="C106" s="182" t="s">
        <v>385</v>
      </c>
      <c r="D106" s="182"/>
      <c r="E106" s="182"/>
      <c r="F106" s="199" t="s">
        <v>386</v>
      </c>
      <c r="G106" s="182"/>
      <c r="H106" s="182" t="s">
        <v>419</v>
      </c>
      <c r="I106" s="182" t="s">
        <v>382</v>
      </c>
      <c r="J106" s="182">
        <v>50</v>
      </c>
      <c r="K106" s="192"/>
    </row>
    <row r="107" spans="1:11" ht="15" customHeight="1">
      <c r="A107" s="168"/>
      <c r="B107" s="200"/>
      <c r="C107" s="182" t="s">
        <v>388</v>
      </c>
      <c r="D107" s="182"/>
      <c r="E107" s="182"/>
      <c r="F107" s="199" t="s">
        <v>380</v>
      </c>
      <c r="G107" s="182"/>
      <c r="H107" s="182" t="s">
        <v>419</v>
      </c>
      <c r="I107" s="182" t="s">
        <v>390</v>
      </c>
      <c r="J107" s="182"/>
      <c r="K107" s="192"/>
    </row>
    <row r="108" spans="1:11" ht="15" customHeight="1">
      <c r="A108" s="168"/>
      <c r="B108" s="200"/>
      <c r="C108" s="182" t="s">
        <v>399</v>
      </c>
      <c r="D108" s="182"/>
      <c r="E108" s="182"/>
      <c r="F108" s="199" t="s">
        <v>386</v>
      </c>
      <c r="G108" s="182"/>
      <c r="H108" s="182" t="s">
        <v>419</v>
      </c>
      <c r="I108" s="182" t="s">
        <v>382</v>
      </c>
      <c r="J108" s="182">
        <v>50</v>
      </c>
      <c r="K108" s="192"/>
    </row>
    <row r="109" spans="1:11" ht="15" customHeight="1">
      <c r="A109" s="168"/>
      <c r="B109" s="200"/>
      <c r="C109" s="182" t="s">
        <v>407</v>
      </c>
      <c r="D109" s="182"/>
      <c r="E109" s="182"/>
      <c r="F109" s="199" t="s">
        <v>386</v>
      </c>
      <c r="G109" s="182"/>
      <c r="H109" s="182" t="s">
        <v>419</v>
      </c>
      <c r="I109" s="182" t="s">
        <v>382</v>
      </c>
      <c r="J109" s="182">
        <v>50</v>
      </c>
      <c r="K109" s="192"/>
    </row>
    <row r="110" spans="1:11" ht="15" customHeight="1">
      <c r="A110" s="168"/>
      <c r="B110" s="200"/>
      <c r="C110" s="182" t="s">
        <v>405</v>
      </c>
      <c r="D110" s="182"/>
      <c r="E110" s="182"/>
      <c r="F110" s="199" t="s">
        <v>386</v>
      </c>
      <c r="G110" s="182"/>
      <c r="H110" s="182" t="s">
        <v>419</v>
      </c>
      <c r="I110" s="182" t="s">
        <v>382</v>
      </c>
      <c r="J110" s="182">
        <v>50</v>
      </c>
      <c r="K110" s="192"/>
    </row>
    <row r="111" spans="1:11" ht="15" customHeight="1">
      <c r="A111" s="168"/>
      <c r="B111" s="200"/>
      <c r="C111" s="182" t="s">
        <v>33</v>
      </c>
      <c r="D111" s="182"/>
      <c r="E111" s="182"/>
      <c r="F111" s="199" t="s">
        <v>380</v>
      </c>
      <c r="G111" s="182"/>
      <c r="H111" s="182" t="s">
        <v>420</v>
      </c>
      <c r="I111" s="182" t="s">
        <v>382</v>
      </c>
      <c r="J111" s="182">
        <v>20</v>
      </c>
      <c r="K111" s="192"/>
    </row>
    <row r="112" spans="1:11" ht="15" customHeight="1">
      <c r="A112" s="168"/>
      <c r="B112" s="200"/>
      <c r="C112" s="182" t="s">
        <v>421</v>
      </c>
      <c r="D112" s="182"/>
      <c r="E112" s="182"/>
      <c r="F112" s="199" t="s">
        <v>380</v>
      </c>
      <c r="G112" s="182"/>
      <c r="H112" s="182" t="s">
        <v>422</v>
      </c>
      <c r="I112" s="182" t="s">
        <v>382</v>
      </c>
      <c r="J112" s="182">
        <v>120</v>
      </c>
      <c r="K112" s="192"/>
    </row>
    <row r="113" spans="1:11" ht="15" customHeight="1">
      <c r="A113" s="168"/>
      <c r="B113" s="200"/>
      <c r="C113" s="182" t="s">
        <v>19</v>
      </c>
      <c r="D113" s="182"/>
      <c r="E113" s="182"/>
      <c r="F113" s="199" t="s">
        <v>380</v>
      </c>
      <c r="G113" s="182"/>
      <c r="H113" s="182" t="s">
        <v>423</v>
      </c>
      <c r="I113" s="182" t="s">
        <v>414</v>
      </c>
      <c r="J113" s="182"/>
      <c r="K113" s="192"/>
    </row>
    <row r="114" spans="1:11" ht="15" customHeight="1">
      <c r="A114" s="168"/>
      <c r="B114" s="200"/>
      <c r="C114" s="182" t="s">
        <v>29</v>
      </c>
      <c r="D114" s="182"/>
      <c r="E114" s="182"/>
      <c r="F114" s="199" t="s">
        <v>380</v>
      </c>
      <c r="G114" s="182"/>
      <c r="H114" s="182" t="s">
        <v>424</v>
      </c>
      <c r="I114" s="182" t="s">
        <v>414</v>
      </c>
      <c r="J114" s="182"/>
      <c r="K114" s="192"/>
    </row>
    <row r="115" spans="1:11" ht="15" customHeight="1">
      <c r="A115" s="168"/>
      <c r="B115" s="200"/>
      <c r="C115" s="182" t="s">
        <v>37</v>
      </c>
      <c r="D115" s="182"/>
      <c r="E115" s="182"/>
      <c r="F115" s="199" t="s">
        <v>380</v>
      </c>
      <c r="G115" s="182"/>
      <c r="H115" s="182" t="s">
        <v>425</v>
      </c>
      <c r="I115" s="182" t="s">
        <v>426</v>
      </c>
      <c r="J115" s="182"/>
      <c r="K115" s="192"/>
    </row>
    <row r="116" spans="1:11" ht="15" customHeight="1">
      <c r="A116" s="168"/>
      <c r="B116" s="201"/>
      <c r="C116" s="206"/>
      <c r="D116" s="206"/>
      <c r="E116" s="206"/>
      <c r="F116" s="206"/>
      <c r="G116" s="206"/>
      <c r="H116" s="206"/>
      <c r="I116" s="206"/>
      <c r="J116" s="206"/>
      <c r="K116" s="203"/>
    </row>
    <row r="117" spans="1:11" ht="18.75" customHeight="1">
      <c r="A117" s="168"/>
      <c r="B117" s="207"/>
      <c r="C117" s="179"/>
      <c r="D117" s="179"/>
      <c r="E117" s="179"/>
      <c r="F117" s="208"/>
      <c r="G117" s="179"/>
      <c r="H117" s="179"/>
      <c r="I117" s="179"/>
      <c r="J117" s="179"/>
      <c r="K117" s="207"/>
    </row>
    <row r="118" spans="1:11" ht="18.75" customHeight="1">
      <c r="A118" s="168"/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</row>
    <row r="119" spans="1:11" ht="7.5" customHeight="1">
      <c r="A119" s="168"/>
      <c r="B119" s="209"/>
      <c r="C119" s="210"/>
      <c r="D119" s="210"/>
      <c r="E119" s="210"/>
      <c r="F119" s="210"/>
      <c r="G119" s="210"/>
      <c r="H119" s="210"/>
      <c r="I119" s="210"/>
      <c r="J119" s="210"/>
      <c r="K119" s="211"/>
    </row>
    <row r="120" spans="1:11" ht="45" customHeight="1">
      <c r="A120" s="168"/>
      <c r="B120" s="212"/>
      <c r="C120" s="429" t="s">
        <v>427</v>
      </c>
      <c r="D120" s="429"/>
      <c r="E120" s="429"/>
      <c r="F120" s="429"/>
      <c r="G120" s="429"/>
      <c r="H120" s="429"/>
      <c r="I120" s="429"/>
      <c r="J120" s="429"/>
      <c r="K120" s="213"/>
    </row>
    <row r="121" spans="1:11" ht="17.25" customHeight="1">
      <c r="A121" s="168"/>
      <c r="B121" s="214"/>
      <c r="C121" s="193" t="s">
        <v>374</v>
      </c>
      <c r="D121" s="193"/>
      <c r="E121" s="193"/>
      <c r="F121" s="193" t="s">
        <v>375</v>
      </c>
      <c r="G121" s="194"/>
      <c r="H121" s="193" t="s">
        <v>56</v>
      </c>
      <c r="I121" s="193" t="s">
        <v>37</v>
      </c>
      <c r="J121" s="193" t="s">
        <v>376</v>
      </c>
      <c r="K121" s="215"/>
    </row>
    <row r="122" spans="1:11" ht="17.25" customHeight="1">
      <c r="A122" s="168"/>
      <c r="B122" s="214"/>
      <c r="C122" s="195" t="s">
        <v>377</v>
      </c>
      <c r="D122" s="195"/>
      <c r="E122" s="195"/>
      <c r="F122" s="196" t="s">
        <v>378</v>
      </c>
      <c r="G122" s="197"/>
      <c r="H122" s="195"/>
      <c r="I122" s="195"/>
      <c r="J122" s="195" t="s">
        <v>379</v>
      </c>
      <c r="K122" s="215"/>
    </row>
    <row r="123" spans="1:11" ht="5.25" customHeight="1">
      <c r="A123" s="168"/>
      <c r="B123" s="216"/>
      <c r="C123" s="198"/>
      <c r="D123" s="198"/>
      <c r="E123" s="198"/>
      <c r="F123" s="198"/>
      <c r="G123" s="182"/>
      <c r="H123" s="198"/>
      <c r="I123" s="198"/>
      <c r="J123" s="198"/>
      <c r="K123" s="217"/>
    </row>
    <row r="124" spans="1:11" ht="15" customHeight="1">
      <c r="A124" s="168"/>
      <c r="B124" s="216"/>
      <c r="C124" s="182" t="s">
        <v>383</v>
      </c>
      <c r="D124" s="198"/>
      <c r="E124" s="198"/>
      <c r="F124" s="199" t="s">
        <v>380</v>
      </c>
      <c r="G124" s="182"/>
      <c r="H124" s="182" t="s">
        <v>419</v>
      </c>
      <c r="I124" s="182" t="s">
        <v>382</v>
      </c>
      <c r="J124" s="182">
        <v>120</v>
      </c>
      <c r="K124" s="218"/>
    </row>
    <row r="125" spans="1:11" ht="15" customHeight="1">
      <c r="A125" s="168"/>
      <c r="B125" s="216"/>
      <c r="C125" s="182" t="s">
        <v>428</v>
      </c>
      <c r="D125" s="182"/>
      <c r="E125" s="182"/>
      <c r="F125" s="199" t="s">
        <v>380</v>
      </c>
      <c r="G125" s="182"/>
      <c r="H125" s="182" t="s">
        <v>429</v>
      </c>
      <c r="I125" s="182" t="s">
        <v>382</v>
      </c>
      <c r="J125" s="182" t="s">
        <v>430</v>
      </c>
      <c r="K125" s="218"/>
    </row>
    <row r="126" spans="1:11" ht="15" customHeight="1">
      <c r="A126" s="168"/>
      <c r="B126" s="216"/>
      <c r="C126" s="182" t="s">
        <v>329</v>
      </c>
      <c r="D126" s="182"/>
      <c r="E126" s="182"/>
      <c r="F126" s="199" t="s">
        <v>380</v>
      </c>
      <c r="G126" s="182"/>
      <c r="H126" s="182" t="s">
        <v>431</v>
      </c>
      <c r="I126" s="182" t="s">
        <v>382</v>
      </c>
      <c r="J126" s="182" t="s">
        <v>430</v>
      </c>
      <c r="K126" s="218"/>
    </row>
    <row r="127" spans="1:11" ht="15" customHeight="1">
      <c r="A127" s="168"/>
      <c r="B127" s="216"/>
      <c r="C127" s="182" t="s">
        <v>391</v>
      </c>
      <c r="D127" s="182"/>
      <c r="E127" s="182"/>
      <c r="F127" s="199" t="s">
        <v>386</v>
      </c>
      <c r="G127" s="182"/>
      <c r="H127" s="182" t="s">
        <v>392</v>
      </c>
      <c r="I127" s="182" t="s">
        <v>382</v>
      </c>
      <c r="J127" s="182">
        <v>15</v>
      </c>
      <c r="K127" s="218"/>
    </row>
    <row r="128" spans="1:11" ht="15" customHeight="1">
      <c r="A128" s="168"/>
      <c r="B128" s="216"/>
      <c r="C128" s="182" t="s">
        <v>393</v>
      </c>
      <c r="D128" s="182"/>
      <c r="E128" s="182"/>
      <c r="F128" s="199" t="s">
        <v>386</v>
      </c>
      <c r="G128" s="182"/>
      <c r="H128" s="182" t="s">
        <v>394</v>
      </c>
      <c r="I128" s="182" t="s">
        <v>382</v>
      </c>
      <c r="J128" s="182">
        <v>15</v>
      </c>
      <c r="K128" s="218"/>
    </row>
    <row r="129" spans="1:11" ht="15" customHeight="1">
      <c r="A129" s="168"/>
      <c r="B129" s="216"/>
      <c r="C129" s="182" t="s">
        <v>395</v>
      </c>
      <c r="D129" s="182"/>
      <c r="E129" s="182"/>
      <c r="F129" s="199" t="s">
        <v>386</v>
      </c>
      <c r="G129" s="182"/>
      <c r="H129" s="182" t="s">
        <v>396</v>
      </c>
      <c r="I129" s="182" t="s">
        <v>382</v>
      </c>
      <c r="J129" s="182">
        <v>20</v>
      </c>
      <c r="K129" s="218"/>
    </row>
    <row r="130" spans="1:11" ht="15" customHeight="1">
      <c r="A130" s="168"/>
      <c r="B130" s="216"/>
      <c r="C130" s="182" t="s">
        <v>397</v>
      </c>
      <c r="D130" s="182"/>
      <c r="E130" s="182"/>
      <c r="F130" s="199" t="s">
        <v>386</v>
      </c>
      <c r="G130" s="182"/>
      <c r="H130" s="182" t="s">
        <v>398</v>
      </c>
      <c r="I130" s="182" t="s">
        <v>382</v>
      </c>
      <c r="J130" s="182">
        <v>20</v>
      </c>
      <c r="K130" s="218"/>
    </row>
    <row r="131" spans="1:11" ht="15" customHeight="1">
      <c r="A131" s="168"/>
      <c r="B131" s="216"/>
      <c r="C131" s="182" t="s">
        <v>385</v>
      </c>
      <c r="D131" s="182"/>
      <c r="E131" s="182"/>
      <c r="F131" s="199" t="s">
        <v>386</v>
      </c>
      <c r="G131" s="182"/>
      <c r="H131" s="182" t="s">
        <v>419</v>
      </c>
      <c r="I131" s="182" t="s">
        <v>382</v>
      </c>
      <c r="J131" s="182">
        <v>50</v>
      </c>
      <c r="K131" s="218"/>
    </row>
    <row r="132" spans="1:11" ht="15" customHeight="1">
      <c r="A132" s="168"/>
      <c r="B132" s="216"/>
      <c r="C132" s="182" t="s">
        <v>399</v>
      </c>
      <c r="D132" s="182"/>
      <c r="E132" s="182"/>
      <c r="F132" s="199" t="s">
        <v>386</v>
      </c>
      <c r="G132" s="182"/>
      <c r="H132" s="182" t="s">
        <v>419</v>
      </c>
      <c r="I132" s="182" t="s">
        <v>382</v>
      </c>
      <c r="J132" s="182">
        <v>50</v>
      </c>
      <c r="K132" s="218"/>
    </row>
    <row r="133" spans="1:11" ht="15" customHeight="1">
      <c r="A133" s="168"/>
      <c r="B133" s="216"/>
      <c r="C133" s="182" t="s">
        <v>405</v>
      </c>
      <c r="D133" s="182"/>
      <c r="E133" s="182"/>
      <c r="F133" s="199" t="s">
        <v>386</v>
      </c>
      <c r="G133" s="182"/>
      <c r="H133" s="182" t="s">
        <v>419</v>
      </c>
      <c r="I133" s="182" t="s">
        <v>382</v>
      </c>
      <c r="J133" s="182">
        <v>50</v>
      </c>
      <c r="K133" s="218"/>
    </row>
    <row r="134" spans="1:11" ht="15" customHeight="1">
      <c r="A134" s="168"/>
      <c r="B134" s="216"/>
      <c r="C134" s="182" t="s">
        <v>407</v>
      </c>
      <c r="D134" s="182"/>
      <c r="E134" s="182"/>
      <c r="F134" s="199" t="s">
        <v>386</v>
      </c>
      <c r="G134" s="182"/>
      <c r="H134" s="182" t="s">
        <v>419</v>
      </c>
      <c r="I134" s="182" t="s">
        <v>382</v>
      </c>
      <c r="J134" s="182">
        <v>50</v>
      </c>
      <c r="K134" s="218"/>
    </row>
    <row r="135" spans="1:11" ht="15" customHeight="1">
      <c r="A135" s="168"/>
      <c r="B135" s="216"/>
      <c r="C135" s="182" t="s">
        <v>61</v>
      </c>
      <c r="D135" s="182"/>
      <c r="E135" s="182"/>
      <c r="F135" s="199" t="s">
        <v>386</v>
      </c>
      <c r="G135" s="182"/>
      <c r="H135" s="182" t="s">
        <v>432</v>
      </c>
      <c r="I135" s="182" t="s">
        <v>382</v>
      </c>
      <c r="J135" s="182">
        <v>255</v>
      </c>
      <c r="K135" s="218"/>
    </row>
    <row r="136" spans="1:11" ht="15" customHeight="1">
      <c r="A136" s="168"/>
      <c r="B136" s="216"/>
      <c r="C136" s="182" t="s">
        <v>409</v>
      </c>
      <c r="D136" s="182"/>
      <c r="E136" s="182"/>
      <c r="F136" s="199" t="s">
        <v>380</v>
      </c>
      <c r="G136" s="182"/>
      <c r="H136" s="182" t="s">
        <v>433</v>
      </c>
      <c r="I136" s="182" t="s">
        <v>411</v>
      </c>
      <c r="J136" s="182"/>
      <c r="K136" s="218"/>
    </row>
    <row r="137" spans="1:11" ht="15" customHeight="1">
      <c r="A137" s="168"/>
      <c r="B137" s="216"/>
      <c r="C137" s="182" t="s">
        <v>412</v>
      </c>
      <c r="D137" s="182"/>
      <c r="E137" s="182"/>
      <c r="F137" s="199" t="s">
        <v>380</v>
      </c>
      <c r="G137" s="182"/>
      <c r="H137" s="182" t="s">
        <v>434</v>
      </c>
      <c r="I137" s="182" t="s">
        <v>414</v>
      </c>
      <c r="J137" s="182"/>
      <c r="K137" s="218"/>
    </row>
    <row r="138" spans="1:11" ht="15" customHeight="1">
      <c r="A138" s="168"/>
      <c r="B138" s="216"/>
      <c r="C138" s="182" t="s">
        <v>415</v>
      </c>
      <c r="D138" s="182"/>
      <c r="E138" s="182"/>
      <c r="F138" s="199" t="s">
        <v>380</v>
      </c>
      <c r="G138" s="182"/>
      <c r="H138" s="182" t="s">
        <v>415</v>
      </c>
      <c r="I138" s="182" t="s">
        <v>414</v>
      </c>
      <c r="J138" s="182"/>
      <c r="K138" s="218"/>
    </row>
    <row r="139" spans="1:11" ht="15" customHeight="1">
      <c r="A139" s="168"/>
      <c r="B139" s="216"/>
      <c r="C139" s="182" t="s">
        <v>19</v>
      </c>
      <c r="D139" s="182"/>
      <c r="E139" s="182"/>
      <c r="F139" s="199" t="s">
        <v>380</v>
      </c>
      <c r="G139" s="182"/>
      <c r="H139" s="182" t="s">
        <v>435</v>
      </c>
      <c r="I139" s="182" t="s">
        <v>414</v>
      </c>
      <c r="J139" s="182"/>
      <c r="K139" s="218"/>
    </row>
    <row r="140" spans="1:11" ht="15" customHeight="1">
      <c r="A140" s="168"/>
      <c r="B140" s="216"/>
      <c r="C140" s="182" t="s">
        <v>436</v>
      </c>
      <c r="D140" s="182"/>
      <c r="E140" s="182"/>
      <c r="F140" s="199" t="s">
        <v>380</v>
      </c>
      <c r="G140" s="182"/>
      <c r="H140" s="182" t="s">
        <v>437</v>
      </c>
      <c r="I140" s="182" t="s">
        <v>414</v>
      </c>
      <c r="J140" s="182"/>
      <c r="K140" s="218"/>
    </row>
    <row r="141" spans="1:11" ht="15" customHeight="1">
      <c r="A141" s="168"/>
      <c r="B141" s="219"/>
      <c r="C141" s="220"/>
      <c r="D141" s="220"/>
      <c r="E141" s="220"/>
      <c r="F141" s="220"/>
      <c r="G141" s="220"/>
      <c r="H141" s="220"/>
      <c r="I141" s="220"/>
      <c r="J141" s="220"/>
      <c r="K141" s="221"/>
    </row>
    <row r="142" spans="1:11" ht="18.75" customHeight="1">
      <c r="A142" s="168"/>
      <c r="B142" s="179"/>
      <c r="C142" s="179"/>
      <c r="D142" s="179"/>
      <c r="E142" s="179"/>
      <c r="F142" s="208"/>
      <c r="G142" s="179"/>
      <c r="H142" s="179"/>
      <c r="I142" s="179"/>
      <c r="J142" s="179"/>
      <c r="K142" s="179"/>
    </row>
    <row r="143" spans="1:11" ht="18.75" customHeight="1">
      <c r="A143" s="168"/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</row>
    <row r="144" spans="1:11" ht="7.5" customHeight="1">
      <c r="A144" s="168"/>
      <c r="B144" s="188"/>
      <c r="C144" s="189"/>
      <c r="D144" s="189"/>
      <c r="E144" s="189"/>
      <c r="F144" s="189"/>
      <c r="G144" s="189"/>
      <c r="H144" s="189"/>
      <c r="I144" s="189"/>
      <c r="J144" s="189"/>
      <c r="K144" s="190"/>
    </row>
    <row r="145" spans="1:11" ht="45" customHeight="1">
      <c r="A145" s="168"/>
      <c r="B145" s="191"/>
      <c r="C145" s="431" t="s">
        <v>438</v>
      </c>
      <c r="D145" s="431"/>
      <c r="E145" s="431"/>
      <c r="F145" s="431"/>
      <c r="G145" s="431"/>
      <c r="H145" s="431"/>
      <c r="I145" s="431"/>
      <c r="J145" s="431"/>
      <c r="K145" s="192"/>
    </row>
    <row r="146" spans="1:11" ht="17.25" customHeight="1">
      <c r="A146" s="168"/>
      <c r="B146" s="191"/>
      <c r="C146" s="193" t="s">
        <v>374</v>
      </c>
      <c r="D146" s="193"/>
      <c r="E146" s="193"/>
      <c r="F146" s="193" t="s">
        <v>375</v>
      </c>
      <c r="G146" s="194"/>
      <c r="H146" s="193" t="s">
        <v>56</v>
      </c>
      <c r="I146" s="193" t="s">
        <v>37</v>
      </c>
      <c r="J146" s="193" t="s">
        <v>376</v>
      </c>
      <c r="K146" s="192"/>
    </row>
    <row r="147" spans="1:11" ht="17.25" customHeight="1">
      <c r="A147" s="168"/>
      <c r="B147" s="191"/>
      <c r="C147" s="195" t="s">
        <v>377</v>
      </c>
      <c r="D147" s="195"/>
      <c r="E147" s="195"/>
      <c r="F147" s="196" t="s">
        <v>378</v>
      </c>
      <c r="G147" s="197"/>
      <c r="H147" s="195"/>
      <c r="I147" s="195"/>
      <c r="J147" s="195" t="s">
        <v>379</v>
      </c>
      <c r="K147" s="192"/>
    </row>
    <row r="148" spans="1:11" ht="5.25" customHeight="1">
      <c r="A148" s="168"/>
      <c r="B148" s="200"/>
      <c r="C148" s="198"/>
      <c r="D148" s="198"/>
      <c r="E148" s="198"/>
      <c r="F148" s="198"/>
      <c r="G148" s="182"/>
      <c r="H148" s="198"/>
      <c r="I148" s="198"/>
      <c r="J148" s="198"/>
      <c r="K148" s="218"/>
    </row>
    <row r="149" spans="1:11" ht="15" customHeight="1">
      <c r="A149" s="168"/>
      <c r="B149" s="200"/>
      <c r="C149" s="222" t="s">
        <v>383</v>
      </c>
      <c r="D149" s="182"/>
      <c r="E149" s="182"/>
      <c r="F149" s="223" t="s">
        <v>380</v>
      </c>
      <c r="G149" s="182"/>
      <c r="H149" s="222" t="s">
        <v>419</v>
      </c>
      <c r="I149" s="222" t="s">
        <v>382</v>
      </c>
      <c r="J149" s="222">
        <v>120</v>
      </c>
      <c r="K149" s="218"/>
    </row>
    <row r="150" spans="1:11" ht="15" customHeight="1">
      <c r="A150" s="168"/>
      <c r="B150" s="200"/>
      <c r="C150" s="222" t="s">
        <v>428</v>
      </c>
      <c r="D150" s="182"/>
      <c r="E150" s="182"/>
      <c r="F150" s="223" t="s">
        <v>380</v>
      </c>
      <c r="G150" s="182"/>
      <c r="H150" s="222" t="s">
        <v>439</v>
      </c>
      <c r="I150" s="222" t="s">
        <v>382</v>
      </c>
      <c r="J150" s="222" t="s">
        <v>430</v>
      </c>
      <c r="K150" s="218"/>
    </row>
    <row r="151" spans="1:11" ht="15" customHeight="1">
      <c r="A151" s="168"/>
      <c r="B151" s="200"/>
      <c r="C151" s="222" t="s">
        <v>329</v>
      </c>
      <c r="D151" s="182"/>
      <c r="E151" s="182"/>
      <c r="F151" s="223" t="s">
        <v>380</v>
      </c>
      <c r="G151" s="182"/>
      <c r="H151" s="222" t="s">
        <v>440</v>
      </c>
      <c r="I151" s="222" t="s">
        <v>382</v>
      </c>
      <c r="J151" s="222" t="s">
        <v>430</v>
      </c>
      <c r="K151" s="218"/>
    </row>
    <row r="152" spans="1:11" ht="15" customHeight="1">
      <c r="A152" s="168"/>
      <c r="B152" s="200"/>
      <c r="C152" s="222" t="s">
        <v>385</v>
      </c>
      <c r="D152" s="182"/>
      <c r="E152" s="182"/>
      <c r="F152" s="223" t="s">
        <v>386</v>
      </c>
      <c r="G152" s="182"/>
      <c r="H152" s="222" t="s">
        <v>419</v>
      </c>
      <c r="I152" s="222" t="s">
        <v>382</v>
      </c>
      <c r="J152" s="222">
        <v>50</v>
      </c>
      <c r="K152" s="218"/>
    </row>
    <row r="153" spans="1:11" ht="15" customHeight="1">
      <c r="A153" s="168"/>
      <c r="B153" s="200"/>
      <c r="C153" s="222" t="s">
        <v>388</v>
      </c>
      <c r="D153" s="182"/>
      <c r="E153" s="182"/>
      <c r="F153" s="223" t="s">
        <v>380</v>
      </c>
      <c r="G153" s="182"/>
      <c r="H153" s="222" t="s">
        <v>419</v>
      </c>
      <c r="I153" s="222" t="s">
        <v>390</v>
      </c>
      <c r="J153" s="222"/>
      <c r="K153" s="218"/>
    </row>
    <row r="154" spans="1:11" ht="15" customHeight="1">
      <c r="A154" s="168"/>
      <c r="B154" s="200"/>
      <c r="C154" s="222" t="s">
        <v>399</v>
      </c>
      <c r="D154" s="182"/>
      <c r="E154" s="182"/>
      <c r="F154" s="223" t="s">
        <v>386</v>
      </c>
      <c r="G154" s="182"/>
      <c r="H154" s="222" t="s">
        <v>419</v>
      </c>
      <c r="I154" s="222" t="s">
        <v>382</v>
      </c>
      <c r="J154" s="222">
        <v>50</v>
      </c>
      <c r="K154" s="218"/>
    </row>
    <row r="155" spans="1:11" ht="15" customHeight="1">
      <c r="A155" s="168"/>
      <c r="B155" s="200"/>
      <c r="C155" s="222" t="s">
        <v>407</v>
      </c>
      <c r="D155" s="182"/>
      <c r="E155" s="182"/>
      <c r="F155" s="223" t="s">
        <v>386</v>
      </c>
      <c r="G155" s="182"/>
      <c r="H155" s="222" t="s">
        <v>419</v>
      </c>
      <c r="I155" s="222" t="s">
        <v>382</v>
      </c>
      <c r="J155" s="222">
        <v>50</v>
      </c>
      <c r="K155" s="218"/>
    </row>
    <row r="156" spans="1:11" ht="15" customHeight="1">
      <c r="A156" s="168"/>
      <c r="B156" s="200"/>
      <c r="C156" s="222" t="s">
        <v>405</v>
      </c>
      <c r="D156" s="182"/>
      <c r="E156" s="182"/>
      <c r="F156" s="223" t="s">
        <v>386</v>
      </c>
      <c r="G156" s="182"/>
      <c r="H156" s="222" t="s">
        <v>419</v>
      </c>
      <c r="I156" s="222" t="s">
        <v>382</v>
      </c>
      <c r="J156" s="222">
        <v>50</v>
      </c>
      <c r="K156" s="218"/>
    </row>
    <row r="157" spans="1:11" ht="15" customHeight="1">
      <c r="A157" s="168"/>
      <c r="B157" s="200"/>
      <c r="C157" s="222" t="s">
        <v>49</v>
      </c>
      <c r="D157" s="182"/>
      <c r="E157" s="182"/>
      <c r="F157" s="223" t="s">
        <v>380</v>
      </c>
      <c r="G157" s="182"/>
      <c r="H157" s="222" t="s">
        <v>441</v>
      </c>
      <c r="I157" s="222" t="s">
        <v>382</v>
      </c>
      <c r="J157" s="222" t="s">
        <v>442</v>
      </c>
      <c r="K157" s="218"/>
    </row>
    <row r="158" spans="1:11" ht="15" customHeight="1">
      <c r="A158" s="168"/>
      <c r="B158" s="200"/>
      <c r="C158" s="222" t="s">
        <v>443</v>
      </c>
      <c r="D158" s="182"/>
      <c r="E158" s="182"/>
      <c r="F158" s="223" t="s">
        <v>380</v>
      </c>
      <c r="G158" s="182"/>
      <c r="H158" s="222" t="s">
        <v>444</v>
      </c>
      <c r="I158" s="222" t="s">
        <v>414</v>
      </c>
      <c r="J158" s="222"/>
      <c r="K158" s="218"/>
    </row>
    <row r="159" spans="1:11" ht="15" customHeight="1">
      <c r="A159" s="168"/>
      <c r="B159" s="224"/>
      <c r="C159" s="206"/>
      <c r="D159" s="206"/>
      <c r="E159" s="206"/>
      <c r="F159" s="206"/>
      <c r="G159" s="206"/>
      <c r="H159" s="206"/>
      <c r="I159" s="206"/>
      <c r="J159" s="206"/>
      <c r="K159" s="225"/>
    </row>
    <row r="160" spans="1:11" ht="18.75" customHeight="1">
      <c r="A160" s="168"/>
      <c r="B160" s="179"/>
      <c r="C160" s="182"/>
      <c r="D160" s="182"/>
      <c r="E160" s="182"/>
      <c r="F160" s="199"/>
      <c r="G160" s="182"/>
      <c r="H160" s="182"/>
      <c r="I160" s="182"/>
      <c r="J160" s="182"/>
      <c r="K160" s="179"/>
    </row>
    <row r="161" spans="1:11" ht="18.75" customHeight="1">
      <c r="A161" s="168"/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</row>
    <row r="162" spans="1:11" ht="7.5" customHeight="1">
      <c r="A162" s="168"/>
      <c r="B162" s="169"/>
      <c r="C162" s="170"/>
      <c r="D162" s="170"/>
      <c r="E162" s="170"/>
      <c r="F162" s="170"/>
      <c r="G162" s="170"/>
      <c r="H162" s="170"/>
      <c r="I162" s="170"/>
      <c r="J162" s="170"/>
      <c r="K162" s="171"/>
    </row>
    <row r="163" spans="1:11" ht="45" customHeight="1">
      <c r="A163" s="168"/>
      <c r="B163" s="173"/>
      <c r="C163" s="429" t="s">
        <v>445</v>
      </c>
      <c r="D163" s="429"/>
      <c r="E163" s="429"/>
      <c r="F163" s="429"/>
      <c r="G163" s="429"/>
      <c r="H163" s="429"/>
      <c r="I163" s="429"/>
      <c r="J163" s="429"/>
      <c r="K163" s="174"/>
    </row>
    <row r="164" spans="1:11" ht="17.25" customHeight="1">
      <c r="A164" s="168"/>
      <c r="B164" s="173"/>
      <c r="C164" s="193" t="s">
        <v>374</v>
      </c>
      <c r="D164" s="193"/>
      <c r="E164" s="193"/>
      <c r="F164" s="193" t="s">
        <v>375</v>
      </c>
      <c r="G164" s="226"/>
      <c r="H164" s="227" t="s">
        <v>56</v>
      </c>
      <c r="I164" s="227" t="s">
        <v>37</v>
      </c>
      <c r="J164" s="193" t="s">
        <v>376</v>
      </c>
      <c r="K164" s="174"/>
    </row>
    <row r="165" spans="1:11" ht="17.25" customHeight="1">
      <c r="A165" s="168"/>
      <c r="B165" s="175"/>
      <c r="C165" s="195" t="s">
        <v>377</v>
      </c>
      <c r="D165" s="195"/>
      <c r="E165" s="195"/>
      <c r="F165" s="196" t="s">
        <v>378</v>
      </c>
      <c r="G165" s="228"/>
      <c r="H165" s="229"/>
      <c r="I165" s="229"/>
      <c r="J165" s="195" t="s">
        <v>379</v>
      </c>
      <c r="K165" s="176"/>
    </row>
    <row r="166" spans="1:11" ht="5.25" customHeight="1">
      <c r="A166" s="168"/>
      <c r="B166" s="200"/>
      <c r="C166" s="198"/>
      <c r="D166" s="198"/>
      <c r="E166" s="198"/>
      <c r="F166" s="198"/>
      <c r="G166" s="182"/>
      <c r="H166" s="198"/>
      <c r="I166" s="198"/>
      <c r="J166" s="198"/>
      <c r="K166" s="218"/>
    </row>
    <row r="167" spans="1:11" ht="15" customHeight="1">
      <c r="A167" s="168"/>
      <c r="B167" s="200"/>
      <c r="C167" s="182" t="s">
        <v>383</v>
      </c>
      <c r="D167" s="182"/>
      <c r="E167" s="182"/>
      <c r="F167" s="199" t="s">
        <v>380</v>
      </c>
      <c r="G167" s="182"/>
      <c r="H167" s="182" t="s">
        <v>419</v>
      </c>
      <c r="I167" s="182" t="s">
        <v>382</v>
      </c>
      <c r="J167" s="182">
        <v>120</v>
      </c>
      <c r="K167" s="218"/>
    </row>
    <row r="168" spans="1:11" ht="15" customHeight="1">
      <c r="A168" s="168"/>
      <c r="B168" s="200"/>
      <c r="C168" s="182" t="s">
        <v>428</v>
      </c>
      <c r="D168" s="182"/>
      <c r="E168" s="182"/>
      <c r="F168" s="199" t="s">
        <v>380</v>
      </c>
      <c r="G168" s="182"/>
      <c r="H168" s="182" t="s">
        <v>429</v>
      </c>
      <c r="I168" s="182" t="s">
        <v>382</v>
      </c>
      <c r="J168" s="182" t="s">
        <v>430</v>
      </c>
      <c r="K168" s="218"/>
    </row>
    <row r="169" spans="1:11" ht="15" customHeight="1">
      <c r="A169" s="168"/>
      <c r="B169" s="200"/>
      <c r="C169" s="182" t="s">
        <v>329</v>
      </c>
      <c r="D169" s="182"/>
      <c r="E169" s="182"/>
      <c r="F169" s="199" t="s">
        <v>380</v>
      </c>
      <c r="G169" s="182"/>
      <c r="H169" s="182" t="s">
        <v>446</v>
      </c>
      <c r="I169" s="182" t="s">
        <v>382</v>
      </c>
      <c r="J169" s="182" t="s">
        <v>430</v>
      </c>
      <c r="K169" s="218"/>
    </row>
    <row r="170" spans="1:11" ht="15" customHeight="1">
      <c r="A170" s="168"/>
      <c r="B170" s="200"/>
      <c r="C170" s="182" t="s">
        <v>385</v>
      </c>
      <c r="D170" s="182"/>
      <c r="E170" s="182"/>
      <c r="F170" s="199" t="s">
        <v>386</v>
      </c>
      <c r="G170" s="182"/>
      <c r="H170" s="182" t="s">
        <v>446</v>
      </c>
      <c r="I170" s="182" t="s">
        <v>382</v>
      </c>
      <c r="J170" s="182">
        <v>50</v>
      </c>
      <c r="K170" s="218"/>
    </row>
    <row r="171" spans="1:11" ht="15" customHeight="1">
      <c r="A171" s="168"/>
      <c r="B171" s="200"/>
      <c r="C171" s="182" t="s">
        <v>388</v>
      </c>
      <c r="D171" s="182"/>
      <c r="E171" s="182"/>
      <c r="F171" s="199" t="s">
        <v>380</v>
      </c>
      <c r="G171" s="182"/>
      <c r="H171" s="182" t="s">
        <v>446</v>
      </c>
      <c r="I171" s="182" t="s">
        <v>390</v>
      </c>
      <c r="J171" s="182"/>
      <c r="K171" s="218"/>
    </row>
    <row r="172" spans="1:11" ht="15" customHeight="1">
      <c r="A172" s="168"/>
      <c r="B172" s="200"/>
      <c r="C172" s="182" t="s">
        <v>399</v>
      </c>
      <c r="D172" s="182"/>
      <c r="E172" s="182"/>
      <c r="F172" s="199" t="s">
        <v>386</v>
      </c>
      <c r="G172" s="182"/>
      <c r="H172" s="182" t="s">
        <v>446</v>
      </c>
      <c r="I172" s="182" t="s">
        <v>382</v>
      </c>
      <c r="J172" s="182">
        <v>50</v>
      </c>
      <c r="K172" s="218"/>
    </row>
    <row r="173" spans="1:11" ht="15" customHeight="1">
      <c r="A173" s="168"/>
      <c r="B173" s="200"/>
      <c r="C173" s="182" t="s">
        <v>407</v>
      </c>
      <c r="D173" s="182"/>
      <c r="E173" s="182"/>
      <c r="F173" s="199" t="s">
        <v>386</v>
      </c>
      <c r="G173" s="182"/>
      <c r="H173" s="182" t="s">
        <v>446</v>
      </c>
      <c r="I173" s="182" t="s">
        <v>382</v>
      </c>
      <c r="J173" s="182">
        <v>50</v>
      </c>
      <c r="K173" s="218"/>
    </row>
    <row r="174" spans="1:11" ht="15" customHeight="1">
      <c r="A174" s="168"/>
      <c r="B174" s="200"/>
      <c r="C174" s="182" t="s">
        <v>405</v>
      </c>
      <c r="D174" s="182"/>
      <c r="E174" s="182"/>
      <c r="F174" s="199" t="s">
        <v>386</v>
      </c>
      <c r="G174" s="182"/>
      <c r="H174" s="182" t="s">
        <v>446</v>
      </c>
      <c r="I174" s="182" t="s">
        <v>382</v>
      </c>
      <c r="J174" s="182">
        <v>50</v>
      </c>
      <c r="K174" s="218"/>
    </row>
    <row r="175" spans="1:11" ht="15" customHeight="1">
      <c r="A175" s="168"/>
      <c r="B175" s="200"/>
      <c r="C175" s="182" t="s">
        <v>55</v>
      </c>
      <c r="D175" s="182"/>
      <c r="E175" s="182"/>
      <c r="F175" s="199" t="s">
        <v>380</v>
      </c>
      <c r="G175" s="182"/>
      <c r="H175" s="182" t="s">
        <v>447</v>
      </c>
      <c r="I175" s="182" t="s">
        <v>448</v>
      </c>
      <c r="J175" s="182"/>
      <c r="K175" s="218"/>
    </row>
    <row r="176" spans="1:11" ht="15" customHeight="1">
      <c r="A176" s="168"/>
      <c r="B176" s="200"/>
      <c r="C176" s="182" t="s">
        <v>37</v>
      </c>
      <c r="D176" s="182"/>
      <c r="E176" s="182"/>
      <c r="F176" s="199" t="s">
        <v>380</v>
      </c>
      <c r="G176" s="182"/>
      <c r="H176" s="182" t="s">
        <v>449</v>
      </c>
      <c r="I176" s="182" t="s">
        <v>450</v>
      </c>
      <c r="J176" s="182">
        <v>1</v>
      </c>
      <c r="K176" s="218"/>
    </row>
    <row r="177" spans="1:11" ht="15" customHeight="1">
      <c r="A177" s="168"/>
      <c r="B177" s="200"/>
      <c r="C177" s="182" t="s">
        <v>33</v>
      </c>
      <c r="D177" s="182"/>
      <c r="E177" s="182"/>
      <c r="F177" s="199" t="s">
        <v>380</v>
      </c>
      <c r="G177" s="182"/>
      <c r="H177" s="182" t="s">
        <v>451</v>
      </c>
      <c r="I177" s="182" t="s">
        <v>382</v>
      </c>
      <c r="J177" s="182">
        <v>20</v>
      </c>
      <c r="K177" s="218"/>
    </row>
    <row r="178" spans="1:11" ht="15" customHeight="1">
      <c r="A178" s="168"/>
      <c r="B178" s="200"/>
      <c r="C178" s="182" t="s">
        <v>56</v>
      </c>
      <c r="D178" s="182"/>
      <c r="E178" s="182"/>
      <c r="F178" s="199" t="s">
        <v>380</v>
      </c>
      <c r="G178" s="182"/>
      <c r="H178" s="182" t="s">
        <v>452</v>
      </c>
      <c r="I178" s="182" t="s">
        <v>382</v>
      </c>
      <c r="J178" s="182">
        <v>255</v>
      </c>
      <c r="K178" s="218"/>
    </row>
    <row r="179" spans="1:11" ht="15" customHeight="1">
      <c r="A179" s="168"/>
      <c r="B179" s="200"/>
      <c r="C179" s="182" t="s">
        <v>57</v>
      </c>
      <c r="D179" s="182"/>
      <c r="E179" s="182"/>
      <c r="F179" s="199" t="s">
        <v>380</v>
      </c>
      <c r="G179" s="182"/>
      <c r="H179" s="182" t="s">
        <v>345</v>
      </c>
      <c r="I179" s="182" t="s">
        <v>382</v>
      </c>
      <c r="J179" s="182">
        <v>10</v>
      </c>
      <c r="K179" s="218"/>
    </row>
    <row r="180" spans="1:11" ht="15" customHeight="1">
      <c r="A180" s="168"/>
      <c r="B180" s="200"/>
      <c r="C180" s="182" t="s">
        <v>58</v>
      </c>
      <c r="D180" s="182"/>
      <c r="E180" s="182"/>
      <c r="F180" s="199" t="s">
        <v>380</v>
      </c>
      <c r="G180" s="182"/>
      <c r="H180" s="182" t="s">
        <v>453</v>
      </c>
      <c r="I180" s="182" t="s">
        <v>414</v>
      </c>
      <c r="J180" s="182"/>
      <c r="K180" s="218"/>
    </row>
    <row r="181" spans="1:11" ht="15" customHeight="1">
      <c r="A181" s="168"/>
      <c r="B181" s="200"/>
      <c r="C181" s="182" t="s">
        <v>454</v>
      </c>
      <c r="D181" s="182"/>
      <c r="E181" s="182"/>
      <c r="F181" s="199" t="s">
        <v>380</v>
      </c>
      <c r="G181" s="182"/>
      <c r="H181" s="182" t="s">
        <v>455</v>
      </c>
      <c r="I181" s="182" t="s">
        <v>414</v>
      </c>
      <c r="J181" s="182"/>
      <c r="K181" s="218"/>
    </row>
    <row r="182" spans="1:11" ht="15" customHeight="1">
      <c r="A182" s="168"/>
      <c r="B182" s="200"/>
      <c r="C182" s="182" t="s">
        <v>443</v>
      </c>
      <c r="D182" s="182"/>
      <c r="E182" s="182"/>
      <c r="F182" s="199" t="s">
        <v>380</v>
      </c>
      <c r="G182" s="182"/>
      <c r="H182" s="182" t="s">
        <v>456</v>
      </c>
      <c r="I182" s="182" t="s">
        <v>414</v>
      </c>
      <c r="J182" s="182"/>
      <c r="K182" s="218"/>
    </row>
    <row r="183" spans="1:11" ht="15" customHeight="1">
      <c r="A183" s="168"/>
      <c r="B183" s="200"/>
      <c r="C183" s="182" t="s">
        <v>60</v>
      </c>
      <c r="D183" s="182"/>
      <c r="E183" s="182"/>
      <c r="F183" s="199" t="s">
        <v>386</v>
      </c>
      <c r="G183" s="182"/>
      <c r="H183" s="182" t="s">
        <v>457</v>
      </c>
      <c r="I183" s="182" t="s">
        <v>382</v>
      </c>
      <c r="J183" s="182">
        <v>50</v>
      </c>
      <c r="K183" s="218"/>
    </row>
    <row r="184" spans="1:11" ht="15" customHeight="1">
      <c r="A184" s="168"/>
      <c r="B184" s="200"/>
      <c r="C184" s="182" t="s">
        <v>458</v>
      </c>
      <c r="D184" s="182"/>
      <c r="E184" s="182"/>
      <c r="F184" s="199" t="s">
        <v>386</v>
      </c>
      <c r="G184" s="182"/>
      <c r="H184" s="182" t="s">
        <v>459</v>
      </c>
      <c r="I184" s="182" t="s">
        <v>460</v>
      </c>
      <c r="J184" s="182"/>
      <c r="K184" s="218"/>
    </row>
    <row r="185" spans="1:11" ht="15" customHeight="1">
      <c r="A185" s="168"/>
      <c r="B185" s="200"/>
      <c r="C185" s="182" t="s">
        <v>461</v>
      </c>
      <c r="D185" s="182"/>
      <c r="E185" s="182"/>
      <c r="F185" s="199" t="s">
        <v>386</v>
      </c>
      <c r="G185" s="182"/>
      <c r="H185" s="182" t="s">
        <v>462</v>
      </c>
      <c r="I185" s="182" t="s">
        <v>460</v>
      </c>
      <c r="J185" s="182"/>
      <c r="K185" s="218"/>
    </row>
    <row r="186" spans="1:11" ht="15" customHeight="1">
      <c r="A186" s="168"/>
      <c r="B186" s="200"/>
      <c r="C186" s="182" t="s">
        <v>463</v>
      </c>
      <c r="D186" s="182"/>
      <c r="E186" s="182"/>
      <c r="F186" s="199" t="s">
        <v>386</v>
      </c>
      <c r="G186" s="182"/>
      <c r="H186" s="182" t="s">
        <v>464</v>
      </c>
      <c r="I186" s="182" t="s">
        <v>460</v>
      </c>
      <c r="J186" s="182"/>
      <c r="K186" s="218"/>
    </row>
    <row r="187" spans="1:11" ht="15" customHeight="1">
      <c r="A187" s="168"/>
      <c r="B187" s="200"/>
      <c r="C187" s="168" t="s">
        <v>465</v>
      </c>
      <c r="D187" s="182"/>
      <c r="E187" s="182"/>
      <c r="F187" s="199" t="s">
        <v>386</v>
      </c>
      <c r="G187" s="182"/>
      <c r="H187" s="182" t="s">
        <v>466</v>
      </c>
      <c r="I187" s="182" t="s">
        <v>467</v>
      </c>
      <c r="J187" s="230" t="s">
        <v>468</v>
      </c>
      <c r="K187" s="218"/>
    </row>
    <row r="188" spans="1:11" ht="15" customHeight="1">
      <c r="A188" s="168"/>
      <c r="B188" s="200"/>
      <c r="C188" s="187" t="s">
        <v>23</v>
      </c>
      <c r="D188" s="182"/>
      <c r="E188" s="182"/>
      <c r="F188" s="199" t="s">
        <v>380</v>
      </c>
      <c r="G188" s="182"/>
      <c r="H188" s="179" t="s">
        <v>469</v>
      </c>
      <c r="I188" s="182" t="s">
        <v>470</v>
      </c>
      <c r="J188" s="182"/>
      <c r="K188" s="218"/>
    </row>
    <row r="189" spans="1:11" ht="15" customHeight="1">
      <c r="A189" s="168"/>
      <c r="B189" s="200"/>
      <c r="C189" s="187" t="s">
        <v>471</v>
      </c>
      <c r="D189" s="182"/>
      <c r="E189" s="182"/>
      <c r="F189" s="199" t="s">
        <v>380</v>
      </c>
      <c r="G189" s="182"/>
      <c r="H189" s="182" t="s">
        <v>472</v>
      </c>
      <c r="I189" s="182" t="s">
        <v>414</v>
      </c>
      <c r="J189" s="182"/>
      <c r="K189" s="218"/>
    </row>
    <row r="190" spans="1:11" ht="15" customHeight="1">
      <c r="A190" s="168"/>
      <c r="B190" s="200"/>
      <c r="C190" s="187" t="s">
        <v>473</v>
      </c>
      <c r="D190" s="182"/>
      <c r="E190" s="182"/>
      <c r="F190" s="199" t="s">
        <v>380</v>
      </c>
      <c r="G190" s="182"/>
      <c r="H190" s="182" t="s">
        <v>474</v>
      </c>
      <c r="I190" s="182" t="s">
        <v>414</v>
      </c>
      <c r="J190" s="182"/>
      <c r="K190" s="218"/>
    </row>
    <row r="191" spans="1:11" ht="15" customHeight="1">
      <c r="A191" s="168"/>
      <c r="B191" s="200"/>
      <c r="C191" s="187" t="s">
        <v>475</v>
      </c>
      <c r="D191" s="182"/>
      <c r="E191" s="182"/>
      <c r="F191" s="199" t="s">
        <v>386</v>
      </c>
      <c r="G191" s="182"/>
      <c r="H191" s="182" t="s">
        <v>476</v>
      </c>
      <c r="I191" s="182" t="s">
        <v>414</v>
      </c>
      <c r="J191" s="182"/>
      <c r="K191" s="218"/>
    </row>
    <row r="192" spans="1:11" ht="15" customHeight="1">
      <c r="A192" s="168"/>
      <c r="B192" s="224"/>
      <c r="C192" s="231"/>
      <c r="D192" s="206"/>
      <c r="E192" s="206"/>
      <c r="F192" s="206"/>
      <c r="G192" s="206"/>
      <c r="H192" s="206"/>
      <c r="I192" s="206"/>
      <c r="J192" s="206"/>
      <c r="K192" s="225"/>
    </row>
    <row r="193" spans="1:11" ht="18.75" customHeight="1">
      <c r="A193" s="168"/>
      <c r="B193" s="179"/>
      <c r="C193" s="182"/>
      <c r="D193" s="182"/>
      <c r="E193" s="182"/>
      <c r="F193" s="199"/>
      <c r="G193" s="182"/>
      <c r="H193" s="182"/>
      <c r="I193" s="182"/>
      <c r="J193" s="182"/>
      <c r="K193" s="179"/>
    </row>
    <row r="194" spans="1:11" ht="18.75" customHeight="1">
      <c r="A194" s="168"/>
      <c r="B194" s="179"/>
      <c r="C194" s="182"/>
      <c r="D194" s="182"/>
      <c r="E194" s="182"/>
      <c r="F194" s="199"/>
      <c r="G194" s="182"/>
      <c r="H194" s="182"/>
      <c r="I194" s="182"/>
      <c r="J194" s="182"/>
      <c r="K194" s="179"/>
    </row>
    <row r="195" spans="1:11" ht="18.75" customHeight="1">
      <c r="A195" s="168"/>
      <c r="B195" s="187"/>
      <c r="C195" s="187"/>
      <c r="D195" s="187"/>
      <c r="E195" s="187"/>
      <c r="F195" s="187"/>
      <c r="G195" s="187"/>
      <c r="H195" s="187"/>
      <c r="I195" s="187"/>
      <c r="J195" s="187"/>
      <c r="K195" s="187"/>
    </row>
    <row r="196" spans="1:11">
      <c r="A196" s="168"/>
      <c r="B196" s="169"/>
      <c r="C196" s="170"/>
      <c r="D196" s="170"/>
      <c r="E196" s="170"/>
      <c r="F196" s="170"/>
      <c r="G196" s="170"/>
      <c r="H196" s="170"/>
      <c r="I196" s="170"/>
      <c r="J196" s="170"/>
      <c r="K196" s="171"/>
    </row>
    <row r="197" spans="1:11" ht="21">
      <c r="A197" s="168"/>
      <c r="B197" s="173"/>
      <c r="C197" s="429" t="s">
        <v>477</v>
      </c>
      <c r="D197" s="429"/>
      <c r="E197" s="429"/>
      <c r="F197" s="429"/>
      <c r="G197" s="429"/>
      <c r="H197" s="429"/>
      <c r="I197" s="429"/>
      <c r="J197" s="429"/>
      <c r="K197" s="174"/>
    </row>
    <row r="198" spans="1:11" ht="25.5" customHeight="1">
      <c r="A198" s="168"/>
      <c r="B198" s="173"/>
      <c r="C198" s="232" t="s">
        <v>478</v>
      </c>
      <c r="D198" s="232"/>
      <c r="E198" s="232"/>
      <c r="F198" s="232" t="s">
        <v>479</v>
      </c>
      <c r="G198" s="233"/>
      <c r="H198" s="434" t="s">
        <v>480</v>
      </c>
      <c r="I198" s="434"/>
      <c r="J198" s="434"/>
      <c r="K198" s="174"/>
    </row>
    <row r="199" spans="1:11" ht="5.25" customHeight="1">
      <c r="A199" s="168"/>
      <c r="B199" s="200"/>
      <c r="C199" s="198"/>
      <c r="D199" s="198"/>
      <c r="E199" s="198"/>
      <c r="F199" s="198"/>
      <c r="G199" s="182"/>
      <c r="H199" s="198"/>
      <c r="I199" s="198"/>
      <c r="J199" s="198"/>
      <c r="K199" s="218"/>
    </row>
    <row r="200" spans="1:11" ht="15" customHeight="1">
      <c r="A200" s="168"/>
      <c r="B200" s="200"/>
      <c r="C200" s="182" t="s">
        <v>470</v>
      </c>
      <c r="D200" s="182"/>
      <c r="E200" s="182"/>
      <c r="F200" s="199" t="s">
        <v>24</v>
      </c>
      <c r="G200" s="182"/>
      <c r="H200" s="435" t="s">
        <v>481</v>
      </c>
      <c r="I200" s="435"/>
      <c r="J200" s="435"/>
      <c r="K200" s="218"/>
    </row>
    <row r="201" spans="1:11" ht="15" customHeight="1">
      <c r="A201" s="168"/>
      <c r="B201" s="200"/>
      <c r="C201" s="204"/>
      <c r="D201" s="182"/>
      <c r="E201" s="182"/>
      <c r="F201" s="199" t="s">
        <v>25</v>
      </c>
      <c r="G201" s="182"/>
      <c r="H201" s="435" t="s">
        <v>482</v>
      </c>
      <c r="I201" s="435"/>
      <c r="J201" s="435"/>
      <c r="K201" s="218"/>
    </row>
    <row r="202" spans="1:11" ht="15" customHeight="1">
      <c r="A202" s="168"/>
      <c r="B202" s="200"/>
      <c r="C202" s="204"/>
      <c r="D202" s="182"/>
      <c r="E202" s="182"/>
      <c r="F202" s="199" t="s">
        <v>28</v>
      </c>
      <c r="G202" s="182"/>
      <c r="H202" s="435" t="s">
        <v>483</v>
      </c>
      <c r="I202" s="435"/>
      <c r="J202" s="435"/>
      <c r="K202" s="218"/>
    </row>
    <row r="203" spans="1:11" ht="15" customHeight="1">
      <c r="A203" s="168"/>
      <c r="B203" s="200"/>
      <c r="C203" s="182"/>
      <c r="D203" s="182"/>
      <c r="E203" s="182"/>
      <c r="F203" s="199" t="s">
        <v>26</v>
      </c>
      <c r="G203" s="182"/>
      <c r="H203" s="435" t="s">
        <v>484</v>
      </c>
      <c r="I203" s="435"/>
      <c r="J203" s="435"/>
      <c r="K203" s="218"/>
    </row>
    <row r="204" spans="1:11" ht="15" customHeight="1">
      <c r="A204" s="168"/>
      <c r="B204" s="200"/>
      <c r="C204" s="182"/>
      <c r="D204" s="182"/>
      <c r="E204" s="182"/>
      <c r="F204" s="199" t="s">
        <v>27</v>
      </c>
      <c r="G204" s="182"/>
      <c r="H204" s="435" t="s">
        <v>485</v>
      </c>
      <c r="I204" s="435"/>
      <c r="J204" s="435"/>
      <c r="K204" s="218"/>
    </row>
    <row r="205" spans="1:11" ht="15" customHeight="1">
      <c r="A205" s="168"/>
      <c r="B205" s="200"/>
      <c r="C205" s="182"/>
      <c r="D205" s="182"/>
      <c r="E205" s="182"/>
      <c r="F205" s="199"/>
      <c r="G205" s="182"/>
      <c r="H205" s="182"/>
      <c r="I205" s="182"/>
      <c r="J205" s="182"/>
      <c r="K205" s="218"/>
    </row>
    <row r="206" spans="1:11" ht="15" customHeight="1">
      <c r="A206" s="168"/>
      <c r="B206" s="200"/>
      <c r="C206" s="182" t="s">
        <v>426</v>
      </c>
      <c r="D206" s="182"/>
      <c r="E206" s="182"/>
      <c r="F206" s="199" t="s">
        <v>41</v>
      </c>
      <c r="G206" s="182"/>
      <c r="H206" s="435" t="s">
        <v>486</v>
      </c>
      <c r="I206" s="435"/>
      <c r="J206" s="435"/>
      <c r="K206" s="218"/>
    </row>
    <row r="207" spans="1:11" ht="15" customHeight="1">
      <c r="A207" s="168"/>
      <c r="B207" s="200"/>
      <c r="C207" s="204"/>
      <c r="D207" s="182"/>
      <c r="E207" s="182"/>
      <c r="F207" s="199" t="s">
        <v>325</v>
      </c>
      <c r="G207" s="182"/>
      <c r="H207" s="435" t="s">
        <v>326</v>
      </c>
      <c r="I207" s="435"/>
      <c r="J207" s="435"/>
      <c r="K207" s="218"/>
    </row>
    <row r="208" spans="1:11" ht="15" customHeight="1">
      <c r="A208" s="168"/>
      <c r="B208" s="200"/>
      <c r="C208" s="182"/>
      <c r="D208" s="182"/>
      <c r="E208" s="182"/>
      <c r="F208" s="199" t="s">
        <v>323</v>
      </c>
      <c r="G208" s="182"/>
      <c r="H208" s="435" t="s">
        <v>487</v>
      </c>
      <c r="I208" s="435"/>
      <c r="J208" s="435"/>
      <c r="K208" s="218"/>
    </row>
    <row r="209" spans="1:11" ht="15" customHeight="1">
      <c r="A209" s="168"/>
      <c r="B209" s="234"/>
      <c r="C209" s="204"/>
      <c r="D209" s="204"/>
      <c r="E209" s="204"/>
      <c r="F209" s="199" t="s">
        <v>327</v>
      </c>
      <c r="G209" s="187"/>
      <c r="H209" s="433" t="s">
        <v>328</v>
      </c>
      <c r="I209" s="433"/>
      <c r="J209" s="433"/>
      <c r="K209" s="235"/>
    </row>
    <row r="210" spans="1:11" ht="15" customHeight="1">
      <c r="A210" s="168"/>
      <c r="B210" s="234"/>
      <c r="C210" s="204"/>
      <c r="D210" s="204"/>
      <c r="E210" s="204"/>
      <c r="F210" s="199" t="s">
        <v>299</v>
      </c>
      <c r="G210" s="187"/>
      <c r="H210" s="433" t="s">
        <v>488</v>
      </c>
      <c r="I210" s="433"/>
      <c r="J210" s="433"/>
      <c r="K210" s="235"/>
    </row>
    <row r="211" spans="1:11" ht="15" customHeight="1">
      <c r="A211" s="168"/>
      <c r="B211" s="234"/>
      <c r="C211" s="204"/>
      <c r="D211" s="204"/>
      <c r="E211" s="204"/>
      <c r="F211" s="236"/>
      <c r="G211" s="187"/>
      <c r="H211" s="237"/>
      <c r="I211" s="237"/>
      <c r="J211" s="237"/>
      <c r="K211" s="235"/>
    </row>
    <row r="212" spans="1:11" ht="15" customHeight="1">
      <c r="A212" s="168"/>
      <c r="B212" s="234"/>
      <c r="C212" s="182" t="s">
        <v>450</v>
      </c>
      <c r="D212" s="204"/>
      <c r="E212" s="204"/>
      <c r="F212" s="199">
        <v>1</v>
      </c>
      <c r="G212" s="187"/>
      <c r="H212" s="433" t="s">
        <v>489</v>
      </c>
      <c r="I212" s="433"/>
      <c r="J212" s="433"/>
      <c r="K212" s="235"/>
    </row>
    <row r="213" spans="1:11" ht="15" customHeight="1">
      <c r="A213" s="168"/>
      <c r="B213" s="234"/>
      <c r="C213" s="204"/>
      <c r="D213" s="204"/>
      <c r="E213" s="204"/>
      <c r="F213" s="199">
        <v>2</v>
      </c>
      <c r="G213" s="187"/>
      <c r="H213" s="433" t="s">
        <v>490</v>
      </c>
      <c r="I213" s="433"/>
      <c r="J213" s="433"/>
      <c r="K213" s="235"/>
    </row>
    <row r="214" spans="1:11" ht="15" customHeight="1">
      <c r="A214" s="168"/>
      <c r="B214" s="234"/>
      <c r="C214" s="204"/>
      <c r="D214" s="204"/>
      <c r="E214" s="204"/>
      <c r="F214" s="199">
        <v>3</v>
      </c>
      <c r="G214" s="187"/>
      <c r="H214" s="433" t="s">
        <v>491</v>
      </c>
      <c r="I214" s="433"/>
      <c r="J214" s="433"/>
      <c r="K214" s="235"/>
    </row>
    <row r="215" spans="1:11" ht="15" customHeight="1">
      <c r="A215" s="168"/>
      <c r="B215" s="234"/>
      <c r="C215" s="204"/>
      <c r="D215" s="204"/>
      <c r="E215" s="204"/>
      <c r="F215" s="199">
        <v>4</v>
      </c>
      <c r="G215" s="187"/>
      <c r="H215" s="433" t="s">
        <v>492</v>
      </c>
      <c r="I215" s="433"/>
      <c r="J215" s="433"/>
      <c r="K215" s="235"/>
    </row>
    <row r="216" spans="1:11" ht="12.75" customHeight="1">
      <c r="A216" s="168"/>
      <c r="B216" s="238"/>
      <c r="C216" s="239"/>
      <c r="D216" s="239"/>
      <c r="E216" s="239"/>
      <c r="F216" s="239"/>
      <c r="G216" s="239"/>
      <c r="H216" s="239"/>
      <c r="I216" s="239"/>
      <c r="J216" s="239"/>
      <c r="K216" s="240"/>
    </row>
    <row r="217" spans="1:11">
      <c r="A217" s="168"/>
      <c r="B217" s="168"/>
      <c r="C217" s="168"/>
      <c r="D217" s="168"/>
      <c r="E217" s="168"/>
      <c r="F217" s="168"/>
      <c r="G217" s="168"/>
      <c r="H217" s="168"/>
      <c r="I217" s="168"/>
      <c r="J217" s="168"/>
      <c r="K217" s="168"/>
    </row>
  </sheetData>
  <sheetProtection algorithmName="SHA-512" hashValue="y6P+5hPEzX1P+dri9eLHbhPAay7oxXIrQTcJgsAlh9aQmYw9qVT7XBseJBpO7hN1aqcU8dOXymnL09bpjF/WPQ==" saltValue="DU39gP5HgKonNNe/kXYrHA==" spinCount="100000" sheet="1" objects="1" scenarios="1"/>
  <mergeCells count="77">
    <mergeCell ref="H210:J210"/>
    <mergeCell ref="H212:J212"/>
    <mergeCell ref="H213:J213"/>
    <mergeCell ref="H214:J214"/>
    <mergeCell ref="H215:J215"/>
    <mergeCell ref="H209:J209"/>
    <mergeCell ref="C163:J163"/>
    <mergeCell ref="C197:J197"/>
    <mergeCell ref="H198:J198"/>
    <mergeCell ref="H200:J200"/>
    <mergeCell ref="H201:J201"/>
    <mergeCell ref="H202:J202"/>
    <mergeCell ref="H203:J203"/>
    <mergeCell ref="H204:J204"/>
    <mergeCell ref="H206:J206"/>
    <mergeCell ref="H207:J207"/>
    <mergeCell ref="H208:J208"/>
    <mergeCell ref="C145:J145"/>
    <mergeCell ref="D60:J60"/>
    <mergeCell ref="D61:J61"/>
    <mergeCell ref="D63:J63"/>
    <mergeCell ref="D64:J64"/>
    <mergeCell ref="D65:J65"/>
    <mergeCell ref="D66:J66"/>
    <mergeCell ref="D67:J67"/>
    <mergeCell ref="D68:J68"/>
    <mergeCell ref="C73:J73"/>
    <mergeCell ref="C100:J100"/>
    <mergeCell ref="C120:J120"/>
    <mergeCell ref="D59:J59"/>
    <mergeCell ref="E46:J46"/>
    <mergeCell ref="E47:J47"/>
    <mergeCell ref="E48:J48"/>
    <mergeCell ref="D49:J49"/>
    <mergeCell ref="C50:J50"/>
    <mergeCell ref="C52:J52"/>
    <mergeCell ref="C53:J53"/>
    <mergeCell ref="C55:J55"/>
    <mergeCell ref="D56:J56"/>
    <mergeCell ref="D57:J57"/>
    <mergeCell ref="D58:J58"/>
    <mergeCell ref="D45:J45"/>
    <mergeCell ref="D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D32:J32"/>
    <mergeCell ref="F18:J18"/>
    <mergeCell ref="F19:J19"/>
    <mergeCell ref="F20:J20"/>
    <mergeCell ref="F21:J21"/>
    <mergeCell ref="C23:J23"/>
    <mergeCell ref="C24:J24"/>
    <mergeCell ref="D25:J25"/>
    <mergeCell ref="D26:J26"/>
    <mergeCell ref="D28:J28"/>
    <mergeCell ref="D29:J29"/>
    <mergeCell ref="D31:J31"/>
    <mergeCell ref="F17:J17"/>
    <mergeCell ref="C3:J3"/>
    <mergeCell ref="C4:J4"/>
    <mergeCell ref="C6:J6"/>
    <mergeCell ref="C7:J7"/>
    <mergeCell ref="C9:J9"/>
    <mergeCell ref="D10:J10"/>
    <mergeCell ref="D11:J11"/>
    <mergeCell ref="D13:J13"/>
    <mergeCell ref="D14:J14"/>
    <mergeCell ref="D15:J15"/>
    <mergeCell ref="F16:J16"/>
  </mergeCells>
  <pageMargins left="0.59055118110236227" right="0.59055118110236227" top="0.59055118110236227" bottom="0.59055118110236227" header="0" footer="0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CBCBF-98DA-4D85-8FF9-8D63A2105372}">
  <dimension ref="A1:AQ127"/>
  <sheetViews>
    <sheetView showGridLines="0" tabSelected="1" view="pageBreakPreview" topLeftCell="B1" zoomScaleNormal="100" zoomScaleSheetLayoutView="100" workbookViewId="0">
      <pane ySplit="1" topLeftCell="A75" activePane="bottomLeft" state="frozen"/>
      <selection activeCell="P8" sqref="P8"/>
      <selection pane="bottomLeft" activeCell="AU96" sqref="AU96"/>
    </sheetView>
  </sheetViews>
  <sheetFormatPr defaultRowHeight="13.5"/>
  <cols>
    <col min="1" max="1" width="8.33203125" hidden="1" customWidth="1"/>
    <col min="2" max="2" width="1.6640625" customWidth="1"/>
    <col min="3" max="3" width="4.1640625" customWidth="1"/>
    <col min="4" max="33" width="2.6640625" customWidth="1"/>
    <col min="34" max="34" width="4.33203125" customWidth="1"/>
    <col min="35" max="35" width="26.1640625" customWidth="1"/>
    <col min="36" max="37" width="2.5" customWidth="1"/>
    <col min="38" max="38" width="1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</cols>
  <sheetData>
    <row r="1" spans="1:43" ht="21.4" hidden="1" customHeight="1">
      <c r="A1" s="14" t="s">
        <v>0</v>
      </c>
      <c r="B1" s="19"/>
      <c r="C1" s="19"/>
      <c r="D1" s="20" t="s">
        <v>1</v>
      </c>
      <c r="E1" s="19"/>
      <c r="F1" s="19"/>
      <c r="G1" s="19"/>
      <c r="H1" s="19"/>
      <c r="I1" s="19"/>
      <c r="J1" s="19"/>
      <c r="K1" s="18" t="s">
        <v>305</v>
      </c>
      <c r="L1" s="18"/>
      <c r="M1" s="18"/>
      <c r="N1" s="18"/>
      <c r="O1" s="18"/>
      <c r="P1" s="18"/>
      <c r="Q1" s="18"/>
      <c r="R1" s="18"/>
      <c r="S1" s="18"/>
      <c r="T1" s="19"/>
      <c r="U1" s="19"/>
      <c r="V1" s="19"/>
      <c r="W1" s="18" t="s">
        <v>306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6"/>
      <c r="AJ1" s="15"/>
      <c r="AK1" s="15"/>
      <c r="AL1" s="15"/>
      <c r="AM1" s="15"/>
      <c r="AN1" s="15"/>
      <c r="AO1" s="15"/>
      <c r="AP1" s="15"/>
      <c r="AQ1" s="15"/>
    </row>
    <row r="2" spans="1:43" ht="36.950000000000003" hidden="1" customHeight="1"/>
    <row r="4" spans="1:43"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3" ht="36" customHeight="1">
      <c r="D5" s="292" t="s">
        <v>46</v>
      </c>
    </row>
    <row r="6" spans="1:43" ht="15">
      <c r="D6" s="35" t="s">
        <v>5</v>
      </c>
      <c r="K6" s="409" t="str">
        <f>'Rekapitulace stavby'!K6:AO6</f>
        <v>Realizace výtahu a rekonstrukce navazujících prostor interiéru budovy Městského úřadu Smržovka</v>
      </c>
      <c r="L6" s="409"/>
      <c r="M6" s="409"/>
      <c r="N6" s="409"/>
      <c r="O6" s="409"/>
      <c r="P6" s="409"/>
      <c r="Q6" s="409"/>
      <c r="R6" s="409"/>
      <c r="S6" s="409"/>
      <c r="T6" s="409"/>
      <c r="U6" s="409"/>
      <c r="V6" s="409"/>
      <c r="W6" s="409"/>
      <c r="X6" s="409"/>
      <c r="Y6" s="409"/>
      <c r="Z6" s="409"/>
      <c r="AA6" s="409"/>
      <c r="AB6" s="409"/>
      <c r="AC6" s="409"/>
      <c r="AD6" s="409"/>
      <c r="AE6" s="409"/>
      <c r="AF6" s="409"/>
      <c r="AG6" s="409"/>
      <c r="AH6" s="409"/>
      <c r="AI6" s="409"/>
      <c r="AJ6" s="409"/>
      <c r="AK6" s="409"/>
      <c r="AL6" s="409"/>
      <c r="AM6" s="409"/>
      <c r="AN6" s="409"/>
      <c r="AO6" s="409"/>
    </row>
    <row r="7" spans="1:43" ht="18">
      <c r="D7" s="35" t="s">
        <v>47</v>
      </c>
      <c r="K7" s="382" t="s">
        <v>779</v>
      </c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2"/>
      <c r="AE7" s="382"/>
      <c r="AF7" s="382"/>
      <c r="AG7" s="382"/>
      <c r="AH7" s="382"/>
      <c r="AI7" s="382"/>
      <c r="AJ7" s="382"/>
      <c r="AK7" s="382"/>
      <c r="AL7" s="382"/>
      <c r="AM7" s="382"/>
      <c r="AN7" s="382"/>
      <c r="AO7" s="382"/>
    </row>
    <row r="8" spans="1:43" ht="15">
      <c r="D8" s="35" t="s">
        <v>6</v>
      </c>
      <c r="K8" s="36" t="s">
        <v>7</v>
      </c>
      <c r="AK8" s="35" t="s">
        <v>8</v>
      </c>
      <c r="AN8" s="36" t="s">
        <v>2</v>
      </c>
    </row>
    <row r="9" spans="1:43" ht="15">
      <c r="D9" s="35" t="s">
        <v>10</v>
      </c>
      <c r="K9" s="36" t="str">
        <f>'Rekapitulace stavby'!K8</f>
        <v>č.p. 600, st.p.č. 1/1, k.ú. Smržovka [751324]</v>
      </c>
      <c r="AK9" s="35" t="s">
        <v>11</v>
      </c>
      <c r="AN9" s="37">
        <f>'Rekapitulace stavby'!AN8</f>
        <v>45743</v>
      </c>
    </row>
    <row r="11" spans="1:43" ht="15">
      <c r="D11" s="35" t="s">
        <v>12</v>
      </c>
      <c r="AK11" s="35" t="s">
        <v>13</v>
      </c>
      <c r="AN11" s="36" t="str">
        <f>'Rekapitulace stavby'!AN10</f>
        <v>002 62 579</v>
      </c>
    </row>
    <row r="12" spans="1:43" ht="15">
      <c r="E12" s="36" t="str">
        <f>'Rekapitulace stavby'!E11</f>
        <v>Město Smržovka, nám. T.G.Masaryka č.p. 600, Smržovka, PSČ 46851</v>
      </c>
      <c r="AK12" s="35" t="s">
        <v>14</v>
      </c>
      <c r="AN12" s="36" t="str">
        <f>'Rekapitulace stavby'!AN11</f>
        <v>CZ00262579</v>
      </c>
    </row>
    <row r="14" spans="1:43" ht="15">
      <c r="D14" s="35" t="s">
        <v>15</v>
      </c>
      <c r="AK14" s="35" t="s">
        <v>13</v>
      </c>
      <c r="AN14" s="36" t="s">
        <v>2</v>
      </c>
    </row>
    <row r="15" spans="1:43" ht="15">
      <c r="E15" s="36" t="s">
        <v>16</v>
      </c>
      <c r="AK15" s="35" t="s">
        <v>14</v>
      </c>
      <c r="AN15" s="36" t="s">
        <v>2</v>
      </c>
    </row>
    <row r="17" spans="4:42" ht="15">
      <c r="D17" s="35" t="s">
        <v>17</v>
      </c>
      <c r="AK17" s="35" t="s">
        <v>13</v>
      </c>
      <c r="AN17" s="36" t="str">
        <f>'Rekapitulace stavby'!AN16</f>
        <v>120 45 357</v>
      </c>
    </row>
    <row r="18" spans="4:42" ht="15">
      <c r="E18" s="36" t="str">
        <f>'Rekapitulace stavby'!E17</f>
        <v>LHOTA - STAVITELSTVÍ</v>
      </c>
      <c r="AK18" s="35" t="s">
        <v>14</v>
      </c>
      <c r="AN18" s="36" t="s">
        <v>2</v>
      </c>
    </row>
    <row r="19" spans="4:42" s="298" customFormat="1" ht="15">
      <c r="E19" s="300" t="str">
        <f>'Rekapitulace stavby'!E18</f>
        <v>sdružení osob Bohumil Lhota a Ing. Vít Lhota, sídlo: Zásada 311, PSČ 46825</v>
      </c>
      <c r="AK19" s="301"/>
      <c r="AN19" s="300"/>
    </row>
    <row r="20" spans="4:42" s="298" customFormat="1" ht="15">
      <c r="E20" s="298" t="str">
        <f>'Rekapitulace stavby'!E19</f>
        <v>ateliér: Smetanova 1809/82, Jablonec nad Nisou, PSČ 46601</v>
      </c>
    </row>
    <row r="21" spans="4:42" ht="15">
      <c r="D21" s="35" t="s">
        <v>18</v>
      </c>
    </row>
    <row r="22" spans="4:42" ht="15">
      <c r="E22" s="371" t="str">
        <f>'Rekapitulace stavby'!E21:AN21</f>
        <v>Provedeno na základě předložené dokumentace "DSJ".</v>
      </c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</row>
    <row r="24" spans="4:42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</row>
    <row r="25" spans="4:42" ht="15">
      <c r="D25" s="40" t="s">
        <v>19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72">
        <f>AG54</f>
        <v>0</v>
      </c>
      <c r="AL25" s="372"/>
      <c r="AM25" s="372"/>
      <c r="AN25" s="372"/>
      <c r="AO25" s="372"/>
      <c r="AP25" s="1"/>
    </row>
    <row r="26" spans="4:42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4:42">
      <c r="D27" s="1"/>
      <c r="E27" s="1"/>
      <c r="F27" s="1"/>
      <c r="G27" s="1"/>
      <c r="H27" s="1"/>
      <c r="I27" s="1"/>
      <c r="J27" s="1"/>
      <c r="K27" s="1"/>
      <c r="L27" s="374" t="s">
        <v>20</v>
      </c>
      <c r="M27" s="374"/>
      <c r="N27" s="374"/>
      <c r="O27" s="374"/>
      <c r="P27" s="1"/>
      <c r="Q27" s="1"/>
      <c r="R27" s="1"/>
      <c r="S27" s="1"/>
      <c r="T27" s="1"/>
      <c r="U27" s="1"/>
      <c r="V27" s="1"/>
      <c r="W27" s="374" t="s">
        <v>21</v>
      </c>
      <c r="X27" s="374"/>
      <c r="Y27" s="374"/>
      <c r="Z27" s="374"/>
      <c r="AA27" s="374"/>
      <c r="AB27" s="374"/>
      <c r="AC27" s="374"/>
      <c r="AD27" s="374"/>
      <c r="AE27" s="374"/>
      <c r="AF27" s="1"/>
      <c r="AG27" s="1"/>
      <c r="AH27" s="1"/>
      <c r="AI27" s="1"/>
      <c r="AJ27" s="1"/>
      <c r="AK27" s="374" t="s">
        <v>22</v>
      </c>
      <c r="AL27" s="374"/>
      <c r="AM27" s="374"/>
      <c r="AN27" s="374"/>
      <c r="AO27" s="374"/>
      <c r="AP27" s="1"/>
    </row>
    <row r="28" spans="4:42">
      <c r="D28" s="44" t="s">
        <v>23</v>
      </c>
      <c r="E28" s="2"/>
      <c r="F28" s="44" t="s">
        <v>24</v>
      </c>
      <c r="G28" s="2"/>
      <c r="H28" s="2"/>
      <c r="I28" s="2"/>
      <c r="J28" s="2"/>
      <c r="K28" s="2"/>
      <c r="L28" s="364">
        <v>0.21</v>
      </c>
      <c r="M28" s="364"/>
      <c r="N28" s="364"/>
      <c r="O28" s="364"/>
      <c r="P28" s="2"/>
      <c r="Q28" s="2"/>
      <c r="R28" s="2"/>
      <c r="S28" s="2"/>
      <c r="T28" s="2"/>
      <c r="U28" s="2"/>
      <c r="V28" s="2"/>
      <c r="W28" s="366">
        <f>AK25</f>
        <v>0</v>
      </c>
      <c r="X28" s="366"/>
      <c r="Y28" s="366"/>
      <c r="Z28" s="366"/>
      <c r="AA28" s="366"/>
      <c r="AB28" s="366"/>
      <c r="AC28" s="366"/>
      <c r="AD28" s="366"/>
      <c r="AE28" s="366"/>
      <c r="AF28" s="2"/>
      <c r="AG28" s="2"/>
      <c r="AH28" s="2"/>
      <c r="AI28" s="2"/>
      <c r="AJ28" s="2"/>
      <c r="AK28" s="366">
        <f>W28*L28</f>
        <v>0</v>
      </c>
      <c r="AL28" s="366"/>
      <c r="AM28" s="366"/>
      <c r="AN28" s="366"/>
      <c r="AO28" s="366"/>
      <c r="AP28" s="2"/>
    </row>
    <row r="29" spans="4:42">
      <c r="D29" s="2"/>
      <c r="E29" s="2"/>
      <c r="F29" s="44" t="s">
        <v>25</v>
      </c>
      <c r="G29" s="2"/>
      <c r="H29" s="2"/>
      <c r="I29" s="2"/>
      <c r="J29" s="2"/>
      <c r="K29" s="2"/>
      <c r="L29" s="364">
        <v>0.15</v>
      </c>
      <c r="M29" s="364"/>
      <c r="N29" s="364"/>
      <c r="O29" s="364"/>
      <c r="P29" s="2"/>
      <c r="Q29" s="2"/>
      <c r="R29" s="2"/>
      <c r="S29" s="2"/>
      <c r="T29" s="2"/>
      <c r="U29" s="2"/>
      <c r="V29" s="2"/>
      <c r="W29" s="366">
        <v>0</v>
      </c>
      <c r="X29" s="366"/>
      <c r="Y29" s="366"/>
      <c r="Z29" s="366"/>
      <c r="AA29" s="366"/>
      <c r="AB29" s="366"/>
      <c r="AC29" s="366"/>
      <c r="AD29" s="366"/>
      <c r="AE29" s="366"/>
      <c r="AF29" s="2"/>
      <c r="AG29" s="2"/>
      <c r="AH29" s="2"/>
      <c r="AI29" s="2"/>
      <c r="AJ29" s="2"/>
      <c r="AK29" s="366">
        <f>W29*L29</f>
        <v>0</v>
      </c>
      <c r="AL29" s="366"/>
      <c r="AM29" s="366"/>
      <c r="AN29" s="366"/>
      <c r="AO29" s="366"/>
      <c r="AP29" s="2"/>
    </row>
    <row r="30" spans="4:42" hidden="1">
      <c r="D30" s="2"/>
      <c r="E30" s="2"/>
      <c r="F30" s="44" t="s">
        <v>26</v>
      </c>
      <c r="G30" s="2"/>
      <c r="H30" s="2"/>
      <c r="I30" s="2"/>
      <c r="J30" s="2"/>
      <c r="K30" s="2"/>
      <c r="L30" s="364">
        <v>0.21</v>
      </c>
      <c r="M30" s="364"/>
      <c r="N30" s="364"/>
      <c r="O30" s="364"/>
      <c r="P30" s="2"/>
      <c r="Q30" s="2"/>
      <c r="R30" s="2"/>
      <c r="S30" s="2"/>
      <c r="T30" s="2"/>
      <c r="U30" s="2"/>
      <c r="V30" s="2"/>
      <c r="W30" s="366"/>
      <c r="X30" s="366"/>
      <c r="Y30" s="366"/>
      <c r="Z30" s="366"/>
      <c r="AA30" s="366"/>
      <c r="AB30" s="366"/>
      <c r="AC30" s="366"/>
      <c r="AD30" s="366"/>
      <c r="AE30" s="366"/>
      <c r="AF30" s="2"/>
      <c r="AG30" s="2"/>
      <c r="AH30" s="2"/>
      <c r="AI30" s="2"/>
      <c r="AJ30" s="2"/>
      <c r="AK30" s="366">
        <v>0</v>
      </c>
      <c r="AL30" s="366"/>
      <c r="AM30" s="366"/>
      <c r="AN30" s="366"/>
      <c r="AO30" s="366"/>
      <c r="AP30" s="2"/>
    </row>
    <row r="31" spans="4:42" hidden="1">
      <c r="D31" s="2"/>
      <c r="E31" s="2"/>
      <c r="F31" s="44" t="s">
        <v>27</v>
      </c>
      <c r="G31" s="2"/>
      <c r="H31" s="2"/>
      <c r="I31" s="2"/>
      <c r="J31" s="2"/>
      <c r="K31" s="2"/>
      <c r="L31" s="364">
        <v>0.15</v>
      </c>
      <c r="M31" s="364"/>
      <c r="N31" s="364"/>
      <c r="O31" s="364"/>
      <c r="P31" s="2"/>
      <c r="Q31" s="2"/>
      <c r="R31" s="2"/>
      <c r="S31" s="2"/>
      <c r="T31" s="2"/>
      <c r="U31" s="2"/>
      <c r="V31" s="2"/>
      <c r="W31" s="366"/>
      <c r="X31" s="366"/>
      <c r="Y31" s="366"/>
      <c r="Z31" s="366"/>
      <c r="AA31" s="366"/>
      <c r="AB31" s="366"/>
      <c r="AC31" s="366"/>
      <c r="AD31" s="366"/>
      <c r="AE31" s="366"/>
      <c r="AF31" s="2"/>
      <c r="AG31" s="2"/>
      <c r="AH31" s="2"/>
      <c r="AI31" s="2"/>
      <c r="AJ31" s="2"/>
      <c r="AK31" s="366">
        <v>0</v>
      </c>
      <c r="AL31" s="366"/>
      <c r="AM31" s="366"/>
      <c r="AN31" s="366"/>
      <c r="AO31" s="366"/>
      <c r="AP31" s="2"/>
    </row>
    <row r="32" spans="4:42" hidden="1">
      <c r="D32" s="2"/>
      <c r="E32" s="2"/>
      <c r="F32" s="44" t="s">
        <v>28</v>
      </c>
      <c r="G32" s="2"/>
      <c r="H32" s="2"/>
      <c r="I32" s="2"/>
      <c r="J32" s="2"/>
      <c r="K32" s="2"/>
      <c r="L32" s="364">
        <v>0</v>
      </c>
      <c r="M32" s="364"/>
      <c r="N32" s="364"/>
      <c r="O32" s="364"/>
      <c r="P32" s="2"/>
      <c r="Q32" s="2"/>
      <c r="R32" s="2"/>
      <c r="S32" s="2"/>
      <c r="T32" s="2"/>
      <c r="U32" s="2"/>
      <c r="V32" s="2"/>
      <c r="W32" s="366"/>
      <c r="X32" s="366"/>
      <c r="Y32" s="366"/>
      <c r="Z32" s="366"/>
      <c r="AA32" s="366"/>
      <c r="AB32" s="366"/>
      <c r="AC32" s="366"/>
      <c r="AD32" s="366"/>
      <c r="AE32" s="366"/>
      <c r="AF32" s="2"/>
      <c r="AG32" s="2"/>
      <c r="AH32" s="2"/>
      <c r="AI32" s="2"/>
      <c r="AJ32" s="2"/>
      <c r="AK32" s="366">
        <v>0</v>
      </c>
      <c r="AL32" s="366"/>
      <c r="AM32" s="366"/>
      <c r="AN32" s="366"/>
      <c r="AO32" s="366"/>
      <c r="AP32" s="2"/>
    </row>
    <row r="33" spans="2:43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2:43" ht="18">
      <c r="D34" s="47" t="s">
        <v>29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 t="s">
        <v>30</v>
      </c>
      <c r="U34" s="48"/>
      <c r="V34" s="48"/>
      <c r="W34" s="48"/>
      <c r="X34" s="376" t="s">
        <v>31</v>
      </c>
      <c r="Y34" s="376"/>
      <c r="Z34" s="376"/>
      <c r="AA34" s="376"/>
      <c r="AB34" s="376"/>
      <c r="AC34" s="48"/>
      <c r="AD34" s="48"/>
      <c r="AE34" s="48"/>
      <c r="AF34" s="48"/>
      <c r="AG34" s="48"/>
      <c r="AH34" s="48"/>
      <c r="AI34" s="48"/>
      <c r="AJ34" s="48"/>
      <c r="AK34" s="378">
        <f>SUM(AK25:AK32)</f>
        <v>0</v>
      </c>
      <c r="AL34" s="378"/>
      <c r="AM34" s="378"/>
      <c r="AN34" s="378"/>
      <c r="AO34" s="410"/>
      <c r="AP34" s="46"/>
    </row>
    <row r="35" spans="2:43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2:43" hidden="1"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</row>
    <row r="40" spans="2:43" s="1" customFormat="1" ht="6.95" customHeight="1"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</row>
    <row r="41" spans="2:43" s="1" customFormat="1" ht="36.950000000000003" customHeight="1">
      <c r="B41" s="39"/>
      <c r="C41" s="31" t="s">
        <v>32</v>
      </c>
    </row>
    <row r="42" spans="2:43" s="1" customFormat="1" ht="6.95" customHeight="1">
      <c r="B42" s="39"/>
    </row>
    <row r="43" spans="2:43" s="289" customFormat="1" ht="14.45" customHeight="1">
      <c r="B43" s="287"/>
      <c r="C43" s="288" t="s">
        <v>5</v>
      </c>
      <c r="L43" s="421" t="str">
        <f>K6</f>
        <v>Realizace výtahu a rekonstrukce navazujících prostor interiéru budovy Městského úřadu Smržovka</v>
      </c>
      <c r="M43" s="422"/>
      <c r="N43" s="422"/>
      <c r="O43" s="422"/>
      <c r="P43" s="422"/>
      <c r="Q43" s="422"/>
      <c r="R43" s="422"/>
      <c r="S43" s="422"/>
      <c r="T43" s="422"/>
      <c r="U43" s="422"/>
      <c r="V43" s="422"/>
      <c r="W43" s="422"/>
      <c r="X43" s="422"/>
      <c r="Y43" s="422"/>
      <c r="Z43" s="422"/>
      <c r="AA43" s="422"/>
      <c r="AB43" s="422"/>
      <c r="AC43" s="422"/>
      <c r="AD43" s="422"/>
      <c r="AE43" s="422"/>
      <c r="AF43" s="422"/>
      <c r="AG43" s="422"/>
      <c r="AH43" s="422"/>
      <c r="AI43" s="422"/>
      <c r="AJ43" s="422"/>
      <c r="AK43" s="422"/>
      <c r="AL43" s="422"/>
      <c r="AM43" s="422"/>
      <c r="AN43" s="422"/>
      <c r="AO43" s="422"/>
    </row>
    <row r="44" spans="2:43" s="4" customFormat="1" ht="36.950000000000003" customHeight="1">
      <c r="B44" s="58"/>
      <c r="C44" s="288" t="str">
        <f>D7</f>
        <v>Objekt:</v>
      </c>
      <c r="D44" s="286"/>
      <c r="E44" s="286"/>
      <c r="F44" s="286"/>
      <c r="L44" s="382" t="str">
        <f>K7</f>
        <v>VON - Vedlejší a ostatní náklady</v>
      </c>
      <c r="M44" s="383"/>
      <c r="N44" s="383"/>
      <c r="O44" s="383"/>
      <c r="P44" s="383"/>
      <c r="Q44" s="383"/>
      <c r="R44" s="383"/>
      <c r="S44" s="383"/>
      <c r="T44" s="383"/>
      <c r="U44" s="383"/>
      <c r="V44" s="383"/>
      <c r="W44" s="383"/>
      <c r="X44" s="383"/>
      <c r="Y44" s="383"/>
      <c r="Z44" s="383"/>
      <c r="AA44" s="383"/>
      <c r="AB44" s="383"/>
      <c r="AC44" s="383"/>
      <c r="AD44" s="383"/>
      <c r="AE44" s="383"/>
      <c r="AF44" s="383"/>
      <c r="AG44" s="383"/>
      <c r="AH44" s="383"/>
      <c r="AI44" s="383"/>
      <c r="AJ44" s="383"/>
      <c r="AK44" s="383"/>
      <c r="AL44" s="383"/>
      <c r="AM44" s="383"/>
      <c r="AN44" s="383"/>
      <c r="AO44" s="383"/>
    </row>
    <row r="45" spans="2:43" s="1" customFormat="1" ht="6.95" customHeight="1">
      <c r="B45" s="39"/>
    </row>
    <row r="46" spans="2:43" s="1" customFormat="1" ht="15">
      <c r="B46" s="39"/>
      <c r="C46" s="35" t="s">
        <v>10</v>
      </c>
      <c r="L46" s="60" t="str">
        <f>K9</f>
        <v>č.p. 600, st.p.č. 1/1, k.ú. Smržovka [751324]</v>
      </c>
      <c r="AI46" s="290" t="s">
        <v>11</v>
      </c>
      <c r="AL46" s="418">
        <f>AN9</f>
        <v>45743</v>
      </c>
      <c r="AM46" s="419"/>
      <c r="AN46" s="419"/>
      <c r="AO46" s="419"/>
      <c r="AP46" s="419"/>
      <c r="AQ46" s="420"/>
    </row>
    <row r="47" spans="2:43" s="1" customFormat="1" ht="6.95" customHeight="1">
      <c r="B47" s="39"/>
      <c r="AI47" s="291"/>
    </row>
    <row r="48" spans="2:43" s="1" customFormat="1" ht="15">
      <c r="B48" s="39"/>
      <c r="C48" s="35" t="s">
        <v>12</v>
      </c>
      <c r="L48" s="3" t="str">
        <f>E12</f>
        <v>Město Smržovka, nám. T.G.Masaryka č.p. 600, Smržovka, PSČ 46851</v>
      </c>
      <c r="AI48" s="290" t="s">
        <v>17</v>
      </c>
      <c r="AL48" s="418" t="str">
        <f>E18</f>
        <v>LHOTA - STAVITELSTVÍ</v>
      </c>
      <c r="AM48" s="419"/>
      <c r="AN48" s="419"/>
      <c r="AO48" s="419"/>
      <c r="AP48" s="419"/>
      <c r="AQ48" s="420"/>
    </row>
    <row r="49" spans="1:43" s="1" customFormat="1" ht="15">
      <c r="B49" s="39"/>
      <c r="C49" s="35" t="s">
        <v>15</v>
      </c>
      <c r="L49" s="3"/>
    </row>
    <row r="50" spans="1:43" s="1" customFormat="1" ht="10.9" customHeight="1">
      <c r="B50" s="39"/>
    </row>
    <row r="51" spans="1:43" s="1" customFormat="1" ht="29.25" customHeight="1">
      <c r="B51" s="39"/>
      <c r="C51" s="384" t="s">
        <v>33</v>
      </c>
      <c r="D51" s="385"/>
      <c r="E51" s="385"/>
      <c r="F51" s="385"/>
      <c r="G51" s="385"/>
      <c r="H51" s="62"/>
      <c r="I51" s="386" t="s">
        <v>34</v>
      </c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7" t="s">
        <v>35</v>
      </c>
      <c r="AH51" s="385"/>
      <c r="AI51" s="385"/>
      <c r="AJ51" s="385"/>
      <c r="AK51" s="385"/>
      <c r="AL51" s="385"/>
      <c r="AM51" s="385"/>
      <c r="AN51" s="386" t="s">
        <v>36</v>
      </c>
      <c r="AO51" s="385"/>
      <c r="AP51" s="385"/>
      <c r="AQ51" s="63" t="s">
        <v>37</v>
      </c>
    </row>
    <row r="52" spans="1:43" s="1" customFormat="1" ht="10.9" customHeight="1">
      <c r="B52" s="39"/>
    </row>
    <row r="53" spans="1:43" s="24" customFormat="1" ht="22.5" customHeight="1">
      <c r="A53" s="17"/>
      <c r="B53" s="71"/>
      <c r="C53" s="72"/>
      <c r="D53" s="73"/>
      <c r="E53" s="74"/>
      <c r="F53" s="74"/>
      <c r="G53" s="74"/>
      <c r="H53" s="74"/>
      <c r="I53" s="74"/>
      <c r="J53" s="75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6"/>
      <c r="AH53" s="77"/>
      <c r="AI53" s="78"/>
      <c r="AJ53" s="74"/>
      <c r="AK53" s="74"/>
      <c r="AL53" s="74"/>
      <c r="AM53" s="74"/>
      <c r="AN53" s="78"/>
      <c r="AO53" s="74"/>
      <c r="AP53" s="74"/>
      <c r="AQ53" s="79"/>
    </row>
    <row r="54" spans="1:43" s="24" customFormat="1" ht="39.6" customHeight="1">
      <c r="A54" s="17"/>
      <c r="B54" s="71"/>
      <c r="C54" s="72"/>
      <c r="D54" s="388" t="s">
        <v>327</v>
      </c>
      <c r="E54" s="389"/>
      <c r="F54" s="389"/>
      <c r="G54" s="389"/>
      <c r="H54" s="389"/>
      <c r="I54" s="74"/>
      <c r="J54" s="361" t="s">
        <v>328</v>
      </c>
      <c r="K54" s="389"/>
      <c r="L54" s="389"/>
      <c r="M54" s="389"/>
      <c r="N54" s="389"/>
      <c r="O54" s="389"/>
      <c r="P54" s="389"/>
      <c r="Q54" s="389"/>
      <c r="R54" s="389"/>
      <c r="S54" s="389"/>
      <c r="T54" s="389"/>
      <c r="U54" s="389"/>
      <c r="V54" s="389"/>
      <c r="W54" s="389"/>
      <c r="X54" s="389"/>
      <c r="Y54" s="389"/>
      <c r="Z54" s="389"/>
      <c r="AA54" s="389"/>
      <c r="AB54" s="389"/>
      <c r="AC54" s="389"/>
      <c r="AD54" s="389"/>
      <c r="AE54" s="389"/>
      <c r="AF54" s="389"/>
      <c r="AG54" s="390">
        <f>SUM(AG55:AM59)</f>
        <v>0</v>
      </c>
      <c r="AH54" s="389"/>
      <c r="AI54" s="389"/>
      <c r="AJ54" s="389"/>
      <c r="AK54" s="389"/>
      <c r="AL54" s="389"/>
      <c r="AM54" s="389"/>
      <c r="AN54" s="390">
        <f>SUM(AN55:AP59)</f>
        <v>0</v>
      </c>
      <c r="AO54" s="389"/>
      <c r="AP54" s="389"/>
      <c r="AQ54" s="79"/>
    </row>
    <row r="55" spans="1:43" s="26" customFormat="1" ht="15">
      <c r="A55" s="25"/>
      <c r="B55" s="80"/>
      <c r="C55" s="242"/>
      <c r="D55" s="393" t="s">
        <v>494</v>
      </c>
      <c r="E55" s="394"/>
      <c r="F55" s="394"/>
      <c r="G55" s="394"/>
      <c r="H55" s="394"/>
      <c r="I55" s="242"/>
      <c r="J55" s="393" t="str">
        <f>J68</f>
        <v>Zařízení staveniště</v>
      </c>
      <c r="K55" s="411"/>
      <c r="L55" s="411"/>
      <c r="M55" s="411"/>
      <c r="N55" s="411"/>
      <c r="O55" s="411"/>
      <c r="P55" s="411"/>
      <c r="Q55" s="411"/>
      <c r="R55" s="411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08">
        <f>AJ68</f>
        <v>0</v>
      </c>
      <c r="AH55" s="394"/>
      <c r="AI55" s="394"/>
      <c r="AJ55" s="394"/>
      <c r="AK55" s="394"/>
      <c r="AL55" s="394"/>
      <c r="AM55" s="394"/>
      <c r="AN55" s="408">
        <f>AG55+AG55*21%</f>
        <v>0</v>
      </c>
      <c r="AO55" s="394"/>
      <c r="AP55" s="394"/>
      <c r="AQ55" s="81"/>
    </row>
    <row r="56" spans="1:43" s="26" customFormat="1" ht="13.15" customHeight="1">
      <c r="A56" s="25"/>
      <c r="B56" s="80"/>
      <c r="C56" s="242"/>
      <c r="D56" s="393" t="s">
        <v>495</v>
      </c>
      <c r="E56" s="394"/>
      <c r="F56" s="394"/>
      <c r="G56" s="394"/>
      <c r="H56" s="394"/>
      <c r="I56" s="242"/>
      <c r="J56" s="393" t="str">
        <f>J83</f>
        <v>Projektová dokumentace v průběhu realizace</v>
      </c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08">
        <f>AJ83</f>
        <v>0</v>
      </c>
      <c r="AH56" s="394"/>
      <c r="AI56" s="394"/>
      <c r="AJ56" s="394"/>
      <c r="AK56" s="394"/>
      <c r="AL56" s="394"/>
      <c r="AM56" s="394"/>
      <c r="AN56" s="408">
        <f>AG56+AG56*21%</f>
        <v>0</v>
      </c>
      <c r="AO56" s="394"/>
      <c r="AP56" s="394"/>
      <c r="AQ56" s="81"/>
    </row>
    <row r="57" spans="1:43" s="26" customFormat="1" ht="13.15" customHeight="1">
      <c r="A57" s="25"/>
      <c r="B57" s="80"/>
      <c r="C57" s="242"/>
      <c r="D57" s="393" t="s">
        <v>496</v>
      </c>
      <c r="E57" s="394"/>
      <c r="F57" s="394"/>
      <c r="G57" s="394"/>
      <c r="H57" s="394"/>
      <c r="I57" s="242"/>
      <c r="J57" s="393" t="str">
        <f>J88</f>
        <v>Geodetické práce a vytýčení</v>
      </c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08">
        <f>AJ88</f>
        <v>0</v>
      </c>
      <c r="AH57" s="394"/>
      <c r="AI57" s="394"/>
      <c r="AJ57" s="394"/>
      <c r="AK57" s="394"/>
      <c r="AL57" s="394"/>
      <c r="AM57" s="394"/>
      <c r="AN57" s="408">
        <f t="shared" ref="AN57:AN59" si="0">AG57+AG57*21%</f>
        <v>0</v>
      </c>
      <c r="AO57" s="394"/>
      <c r="AP57" s="394"/>
      <c r="AQ57" s="81"/>
    </row>
    <row r="58" spans="1:43" s="26" customFormat="1" ht="15">
      <c r="A58" s="25"/>
      <c r="B58" s="80"/>
      <c r="C58" s="242"/>
      <c r="D58" s="393" t="s">
        <v>497</v>
      </c>
      <c r="E58" s="394"/>
      <c r="F58" s="394"/>
      <c r="G58" s="394"/>
      <c r="H58" s="394"/>
      <c r="I58" s="242"/>
      <c r="J58" s="393" t="str">
        <f>J100</f>
        <v>Zkoušky, atesty a revize</v>
      </c>
      <c r="K58" s="411"/>
      <c r="L58" s="411"/>
      <c r="M58" s="411"/>
      <c r="N58" s="411"/>
      <c r="O58" s="411"/>
      <c r="P58" s="411"/>
      <c r="Q58" s="411"/>
      <c r="R58" s="411"/>
      <c r="S58" s="411"/>
      <c r="T58" s="411"/>
      <c r="U58" s="411"/>
      <c r="V58" s="411"/>
      <c r="W58" s="411"/>
      <c r="X58" s="411"/>
      <c r="Y58" s="411"/>
      <c r="Z58" s="411"/>
      <c r="AA58" s="411"/>
      <c r="AB58" s="411"/>
      <c r="AC58" s="411"/>
      <c r="AD58" s="411"/>
      <c r="AE58" s="411"/>
      <c r="AF58" s="411"/>
      <c r="AG58" s="408">
        <f>AJ100</f>
        <v>0</v>
      </c>
      <c r="AH58" s="394"/>
      <c r="AI58" s="394"/>
      <c r="AJ58" s="394"/>
      <c r="AK58" s="394"/>
      <c r="AL58" s="394"/>
      <c r="AM58" s="394"/>
      <c r="AN58" s="408">
        <f t="shared" si="0"/>
        <v>0</v>
      </c>
      <c r="AO58" s="394"/>
      <c r="AP58" s="394"/>
      <c r="AQ58" s="81"/>
    </row>
    <row r="59" spans="1:43" s="26" customFormat="1" ht="13.15" customHeight="1">
      <c r="A59" s="25"/>
      <c r="B59" s="80"/>
      <c r="C59" s="242"/>
      <c r="D59" s="393" t="s">
        <v>498</v>
      </c>
      <c r="E59" s="394"/>
      <c r="F59" s="394"/>
      <c r="G59" s="394"/>
      <c r="H59" s="394"/>
      <c r="I59" s="242"/>
      <c r="J59" s="393" t="str">
        <f>J109</f>
        <v>Zajištění kontrolního a zkušebního plánu stavby</v>
      </c>
      <c r="K59" s="411"/>
      <c r="L59" s="411"/>
      <c r="M59" s="411"/>
      <c r="N59" s="411"/>
      <c r="O59" s="411"/>
      <c r="P59" s="411"/>
      <c r="Q59" s="411"/>
      <c r="R59" s="411"/>
      <c r="S59" s="411"/>
      <c r="T59" s="411"/>
      <c r="U59" s="411"/>
      <c r="V59" s="411"/>
      <c r="W59" s="411"/>
      <c r="X59" s="411"/>
      <c r="Y59" s="411"/>
      <c r="Z59" s="411"/>
      <c r="AA59" s="411"/>
      <c r="AB59" s="411"/>
      <c r="AC59" s="411"/>
      <c r="AD59" s="411"/>
      <c r="AE59" s="411"/>
      <c r="AF59" s="411"/>
      <c r="AG59" s="408">
        <f>AJ109</f>
        <v>0</v>
      </c>
      <c r="AH59" s="394"/>
      <c r="AI59" s="394"/>
      <c r="AJ59" s="394"/>
      <c r="AK59" s="394"/>
      <c r="AL59" s="394"/>
      <c r="AM59" s="394"/>
      <c r="AN59" s="408">
        <f t="shared" si="0"/>
        <v>0</v>
      </c>
      <c r="AO59" s="394"/>
      <c r="AP59" s="394"/>
      <c r="AQ59" s="81"/>
    </row>
    <row r="60" spans="1:43" s="26" customFormat="1" ht="15">
      <c r="A60" s="25"/>
      <c r="B60" s="80"/>
      <c r="C60" s="242"/>
      <c r="D60" s="241"/>
      <c r="E60" s="242"/>
      <c r="F60" s="242"/>
      <c r="G60" s="242"/>
      <c r="H60" s="242"/>
      <c r="I60" s="242"/>
      <c r="J60" s="241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3"/>
      <c r="AH60" s="242"/>
      <c r="AI60" s="242"/>
      <c r="AJ60" s="242"/>
      <c r="AK60" s="242"/>
      <c r="AL60" s="242"/>
      <c r="AM60" s="242"/>
      <c r="AN60" s="243"/>
      <c r="AO60" s="242"/>
      <c r="AP60" s="242"/>
      <c r="AQ60" s="81"/>
    </row>
    <row r="61" spans="1:43" s="26" customFormat="1" ht="15">
      <c r="A61" s="25"/>
      <c r="B61" s="80"/>
      <c r="C61" s="242"/>
      <c r="D61" s="241"/>
      <c r="E61" s="242"/>
      <c r="F61" s="242"/>
      <c r="G61" s="242"/>
      <c r="H61" s="242"/>
      <c r="I61" s="242"/>
      <c r="J61" s="241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3"/>
      <c r="AH61" s="242"/>
      <c r="AI61" s="242"/>
      <c r="AJ61" s="242"/>
      <c r="AK61" s="242"/>
      <c r="AL61" s="242"/>
      <c r="AM61" s="242"/>
      <c r="AN61" s="243"/>
      <c r="AO61" s="242"/>
      <c r="AP61" s="242"/>
      <c r="AQ61" s="81"/>
    </row>
    <row r="62" spans="1:43" s="26" customFormat="1" ht="15">
      <c r="A62" s="25"/>
      <c r="B62" s="80"/>
      <c r="C62" s="242"/>
      <c r="D62" s="241"/>
      <c r="E62" s="242"/>
      <c r="F62" s="242"/>
      <c r="G62" s="242"/>
      <c r="H62" s="242"/>
      <c r="I62" s="242"/>
      <c r="J62" s="241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3"/>
      <c r="AH62" s="242"/>
      <c r="AI62" s="242"/>
      <c r="AJ62" s="242"/>
      <c r="AK62" s="242"/>
      <c r="AL62" s="242"/>
      <c r="AM62" s="242"/>
      <c r="AN62" s="243"/>
      <c r="AO62" s="242"/>
      <c r="AP62" s="242"/>
      <c r="AQ62" s="81"/>
    </row>
    <row r="63" spans="1:43" s="26" customFormat="1" ht="15">
      <c r="A63" s="25"/>
      <c r="B63" s="80"/>
      <c r="C63" s="242"/>
      <c r="D63" s="241"/>
      <c r="E63" s="242"/>
      <c r="F63" s="242"/>
      <c r="G63" s="242"/>
      <c r="H63" s="242"/>
      <c r="I63" s="242"/>
      <c r="J63" s="241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82" t="s">
        <v>560</v>
      </c>
      <c r="AF63" s="83"/>
      <c r="AG63" s="84" t="s">
        <v>813</v>
      </c>
      <c r="AH63" s="242"/>
      <c r="AI63" s="242"/>
      <c r="AJ63" s="242"/>
      <c r="AK63" s="242"/>
      <c r="AL63" s="242"/>
      <c r="AM63" s="242"/>
      <c r="AN63" s="243"/>
      <c r="AO63" s="242"/>
      <c r="AP63" s="242"/>
      <c r="AQ63" s="81"/>
    </row>
    <row r="64" spans="1:43" s="26" customFormat="1" ht="15">
      <c r="A64" s="25"/>
      <c r="B64" s="80"/>
      <c r="C64" s="242"/>
      <c r="D64" s="241"/>
      <c r="E64" s="242"/>
      <c r="F64" s="242"/>
      <c r="G64" s="242"/>
      <c r="H64" s="242"/>
      <c r="I64" s="242"/>
      <c r="J64" s="241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3"/>
      <c r="AH64" s="242"/>
      <c r="AI64" s="242"/>
      <c r="AJ64" s="242"/>
      <c r="AK64" s="242"/>
      <c r="AL64" s="242"/>
      <c r="AM64" s="242"/>
      <c r="AN64" s="243"/>
      <c r="AO64" s="242"/>
      <c r="AP64" s="242"/>
      <c r="AQ64" s="81"/>
    </row>
    <row r="65" spans="1:43" s="26" customFormat="1" ht="15">
      <c r="A65" s="25"/>
      <c r="B65" s="80"/>
      <c r="C65" s="242"/>
      <c r="D65" s="241"/>
      <c r="E65" s="242"/>
      <c r="F65" s="242"/>
      <c r="G65" s="242"/>
      <c r="H65" s="242"/>
      <c r="I65" s="242"/>
      <c r="J65" s="241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3"/>
      <c r="AH65" s="242"/>
      <c r="AI65" s="242"/>
      <c r="AJ65" s="242"/>
      <c r="AK65" s="242"/>
      <c r="AL65" s="242"/>
      <c r="AM65" s="242"/>
      <c r="AN65" s="243"/>
      <c r="AO65" s="242"/>
      <c r="AP65" s="242"/>
      <c r="AQ65" s="81"/>
    </row>
    <row r="66" spans="1:43" s="24" customFormat="1" ht="25.9" customHeight="1">
      <c r="A66" s="17"/>
      <c r="B66" s="71"/>
      <c r="C66" s="72"/>
      <c r="D66" s="412" t="s">
        <v>55</v>
      </c>
      <c r="E66" s="413"/>
      <c r="F66" s="413"/>
      <c r="G66" s="413"/>
      <c r="H66" s="413"/>
      <c r="I66" s="124"/>
      <c r="J66" s="414" t="s">
        <v>56</v>
      </c>
      <c r="K66" s="415"/>
      <c r="L66" s="415"/>
      <c r="M66" s="415"/>
      <c r="N66" s="415"/>
      <c r="O66" s="415"/>
      <c r="P66" s="415"/>
      <c r="Q66" s="415"/>
      <c r="R66" s="415"/>
      <c r="S66" s="415"/>
      <c r="T66" s="415"/>
      <c r="U66" s="415"/>
      <c r="V66" s="415"/>
      <c r="W66" s="415"/>
      <c r="X66" s="415"/>
      <c r="Y66" s="415"/>
      <c r="Z66" s="415"/>
      <c r="AA66" s="415"/>
      <c r="AB66" s="415"/>
      <c r="AC66" s="414" t="s">
        <v>57</v>
      </c>
      <c r="AD66" s="415"/>
      <c r="AE66" s="415"/>
      <c r="AF66" s="416" t="s">
        <v>58</v>
      </c>
      <c r="AG66" s="417"/>
      <c r="AH66" s="417"/>
      <c r="AI66" s="295" t="s">
        <v>59</v>
      </c>
      <c r="AJ66" s="414" t="s">
        <v>50</v>
      </c>
      <c r="AK66" s="415"/>
      <c r="AL66" s="415"/>
      <c r="AM66" s="415"/>
      <c r="AN66" s="78"/>
      <c r="AO66" s="74"/>
      <c r="AP66" s="74"/>
      <c r="AQ66" s="79"/>
    </row>
    <row r="67" spans="1:43" s="24" customFormat="1" ht="47.45" customHeight="1">
      <c r="A67" s="17"/>
      <c r="B67" s="71"/>
      <c r="C67" s="72"/>
      <c r="D67" s="388" t="s">
        <v>327</v>
      </c>
      <c r="E67" s="389"/>
      <c r="F67" s="389"/>
      <c r="G67" s="389"/>
      <c r="H67" s="389"/>
      <c r="I67" s="74"/>
      <c r="J67" s="361" t="s">
        <v>328</v>
      </c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  <c r="AE67" s="389"/>
      <c r="AF67" s="389"/>
      <c r="AG67" s="390">
        <f>SUM(AJ68:AM113)</f>
        <v>0</v>
      </c>
      <c r="AH67" s="389"/>
      <c r="AI67" s="389"/>
      <c r="AJ67" s="389"/>
      <c r="AK67" s="389"/>
      <c r="AL67" s="389"/>
      <c r="AM67" s="389"/>
      <c r="AN67" s="390"/>
      <c r="AO67" s="389"/>
      <c r="AP67" s="389"/>
      <c r="AQ67" s="79"/>
    </row>
    <row r="68" spans="1:43" s="26" customFormat="1" ht="15">
      <c r="A68" s="25"/>
      <c r="B68" s="80"/>
      <c r="C68" s="242"/>
      <c r="D68" s="398" t="s">
        <v>494</v>
      </c>
      <c r="E68" s="399"/>
      <c r="F68" s="399"/>
      <c r="G68" s="399"/>
      <c r="H68" s="399"/>
      <c r="I68" s="294"/>
      <c r="J68" s="402" t="s">
        <v>302</v>
      </c>
      <c r="K68" s="403"/>
      <c r="L68" s="403"/>
      <c r="M68" s="403"/>
      <c r="N68" s="403"/>
      <c r="O68" s="403"/>
      <c r="P68" s="403"/>
      <c r="Q68" s="403"/>
      <c r="R68" s="403"/>
      <c r="S68" s="403"/>
      <c r="T68" s="403"/>
      <c r="U68" s="403"/>
      <c r="V68" s="403"/>
      <c r="W68" s="403"/>
      <c r="X68" s="403"/>
      <c r="Y68" s="403"/>
      <c r="Z68" s="403"/>
      <c r="AA68" s="403"/>
      <c r="AB68" s="404"/>
      <c r="AC68" s="395" t="s">
        <v>181</v>
      </c>
      <c r="AD68" s="396"/>
      <c r="AE68" s="397"/>
      <c r="AF68" s="405">
        <v>1</v>
      </c>
      <c r="AG68" s="406"/>
      <c r="AH68" s="407"/>
      <c r="AI68" s="293"/>
      <c r="AJ68" s="400">
        <f>AF68*AI68</f>
        <v>0</v>
      </c>
      <c r="AK68" s="401"/>
      <c r="AL68" s="401"/>
      <c r="AM68" s="401"/>
      <c r="AN68" s="408"/>
      <c r="AO68" s="394"/>
      <c r="AP68" s="394"/>
      <c r="AQ68" s="81"/>
    </row>
    <row r="69" spans="1:43" s="26" customFormat="1" ht="15">
      <c r="A69" s="25"/>
      <c r="B69" s="80"/>
      <c r="C69" s="242"/>
      <c r="D69" s="241"/>
      <c r="E69" s="242"/>
      <c r="F69" s="242"/>
      <c r="G69" s="242"/>
      <c r="H69" s="242"/>
      <c r="I69" s="242"/>
      <c r="J69" s="393" t="s">
        <v>511</v>
      </c>
      <c r="K69" s="394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394"/>
      <c r="W69" s="394"/>
      <c r="X69" s="394"/>
      <c r="Y69" s="394"/>
      <c r="Z69" s="394"/>
      <c r="AA69" s="394"/>
      <c r="AB69" s="394"/>
      <c r="AC69" s="394"/>
      <c r="AD69" s="394"/>
      <c r="AE69" s="394"/>
      <c r="AF69" s="394"/>
      <c r="AG69" s="243"/>
      <c r="AH69" s="242"/>
      <c r="AI69" s="242"/>
      <c r="AJ69" s="242"/>
      <c r="AK69" s="242"/>
      <c r="AL69" s="242"/>
      <c r="AM69" s="242"/>
      <c r="AN69" s="243"/>
      <c r="AO69" s="242"/>
      <c r="AP69" s="242"/>
      <c r="AQ69" s="81"/>
    </row>
    <row r="70" spans="1:43" s="26" customFormat="1" ht="15">
      <c r="A70" s="25"/>
      <c r="B70" s="80"/>
      <c r="C70" s="242"/>
      <c r="D70" s="241"/>
      <c r="E70" s="242"/>
      <c r="F70" s="242"/>
      <c r="G70" s="242"/>
      <c r="H70" s="242"/>
      <c r="I70" s="242"/>
      <c r="J70" s="85" t="s">
        <v>499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86"/>
      <c r="AH70" s="3"/>
      <c r="AI70" s="3"/>
      <c r="AJ70" s="3"/>
      <c r="AK70" s="3"/>
      <c r="AL70" s="3"/>
      <c r="AM70" s="3"/>
      <c r="AN70" s="86"/>
      <c r="AO70" s="242"/>
      <c r="AP70" s="242"/>
      <c r="AQ70" s="81"/>
    </row>
    <row r="71" spans="1:43" s="26" customFormat="1" ht="15">
      <c r="A71" s="25"/>
      <c r="B71" s="80"/>
      <c r="C71" s="242"/>
      <c r="D71" s="241"/>
      <c r="E71" s="242"/>
      <c r="F71" s="242"/>
      <c r="G71" s="242"/>
      <c r="H71" s="242"/>
      <c r="I71" s="242"/>
      <c r="J71" s="85" t="s">
        <v>500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86"/>
      <c r="AH71" s="3"/>
      <c r="AI71" s="3"/>
      <c r="AJ71" s="3"/>
      <c r="AK71" s="3"/>
      <c r="AL71" s="3"/>
      <c r="AM71" s="3"/>
      <c r="AN71" s="86"/>
      <c r="AO71" s="242"/>
      <c r="AP71" s="242"/>
      <c r="AQ71" s="81"/>
    </row>
    <row r="72" spans="1:43" s="26" customFormat="1" ht="15">
      <c r="A72" s="25"/>
      <c r="B72" s="80"/>
      <c r="C72" s="242"/>
      <c r="D72" s="241"/>
      <c r="E72" s="242"/>
      <c r="F72" s="242"/>
      <c r="G72" s="242"/>
      <c r="H72" s="242"/>
      <c r="I72" s="242"/>
      <c r="J72" s="85" t="s">
        <v>501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86"/>
      <c r="AH72" s="3"/>
      <c r="AI72" s="3"/>
      <c r="AJ72" s="3"/>
      <c r="AK72" s="3"/>
      <c r="AL72" s="3"/>
      <c r="AM72" s="3"/>
      <c r="AN72" s="86"/>
      <c r="AO72" s="242"/>
      <c r="AP72" s="242"/>
      <c r="AQ72" s="81"/>
    </row>
    <row r="73" spans="1:43" s="26" customFormat="1" ht="15">
      <c r="A73" s="25"/>
      <c r="B73" s="80"/>
      <c r="C73" s="242"/>
      <c r="D73" s="241"/>
      <c r="E73" s="242"/>
      <c r="F73" s="242"/>
      <c r="G73" s="242"/>
      <c r="H73" s="242"/>
      <c r="I73" s="242"/>
      <c r="J73" s="85" t="s">
        <v>502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86"/>
      <c r="AH73" s="3"/>
      <c r="AI73" s="3"/>
      <c r="AJ73" s="3"/>
      <c r="AK73" s="3"/>
      <c r="AL73" s="3"/>
      <c r="AM73" s="3"/>
      <c r="AN73" s="86"/>
      <c r="AO73" s="242"/>
      <c r="AP73" s="242"/>
      <c r="AQ73" s="81"/>
    </row>
    <row r="74" spans="1:43" s="26" customFormat="1" ht="15">
      <c r="A74" s="25"/>
      <c r="B74" s="80"/>
      <c r="C74" s="242"/>
      <c r="D74" s="241"/>
      <c r="E74" s="242"/>
      <c r="F74" s="242"/>
      <c r="G74" s="242"/>
      <c r="H74" s="242"/>
      <c r="I74" s="242"/>
      <c r="J74" s="85" t="s">
        <v>503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86"/>
      <c r="AH74" s="3"/>
      <c r="AI74" s="3"/>
      <c r="AJ74" s="3"/>
      <c r="AK74" s="3"/>
      <c r="AL74" s="3"/>
      <c r="AM74" s="3"/>
      <c r="AN74" s="86"/>
      <c r="AO74" s="242"/>
      <c r="AP74" s="242"/>
      <c r="AQ74" s="81"/>
    </row>
    <row r="75" spans="1:43" s="26" customFormat="1" ht="15">
      <c r="A75" s="25"/>
      <c r="B75" s="80"/>
      <c r="C75" s="242"/>
      <c r="D75" s="241"/>
      <c r="E75" s="242"/>
      <c r="F75" s="242"/>
      <c r="G75" s="242"/>
      <c r="H75" s="242"/>
      <c r="I75" s="242"/>
      <c r="J75" s="85" t="s">
        <v>504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86"/>
      <c r="AH75" s="3"/>
      <c r="AI75" s="3"/>
      <c r="AJ75" s="3"/>
      <c r="AK75" s="3"/>
      <c r="AL75" s="3"/>
      <c r="AM75" s="3"/>
      <c r="AN75" s="86"/>
      <c r="AO75" s="242"/>
      <c r="AP75" s="242"/>
      <c r="AQ75" s="81"/>
    </row>
    <row r="76" spans="1:43" s="26" customFormat="1" ht="15">
      <c r="A76" s="25"/>
      <c r="B76" s="80"/>
      <c r="C76" s="242"/>
      <c r="D76" s="241"/>
      <c r="E76" s="242"/>
      <c r="F76" s="242"/>
      <c r="G76" s="242"/>
      <c r="H76" s="242"/>
      <c r="I76" s="242"/>
      <c r="J76" s="85" t="s">
        <v>505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86"/>
      <c r="AH76" s="3"/>
      <c r="AI76" s="3"/>
      <c r="AJ76" s="3"/>
      <c r="AK76" s="3"/>
      <c r="AL76" s="3"/>
      <c r="AM76" s="3"/>
      <c r="AN76" s="86"/>
      <c r="AO76" s="242"/>
      <c r="AP76" s="242"/>
      <c r="AQ76" s="81"/>
    </row>
    <row r="77" spans="1:43" s="26" customFormat="1" ht="15">
      <c r="A77" s="25"/>
      <c r="B77" s="80"/>
      <c r="C77" s="242"/>
      <c r="D77" s="241"/>
      <c r="E77" s="242"/>
      <c r="F77" s="242"/>
      <c r="G77" s="242"/>
      <c r="H77" s="242"/>
      <c r="I77" s="242"/>
      <c r="J77" s="85" t="s">
        <v>506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86"/>
      <c r="AH77" s="3"/>
      <c r="AI77" s="3"/>
      <c r="AJ77" s="3"/>
      <c r="AK77" s="3"/>
      <c r="AL77" s="3"/>
      <c r="AM77" s="3"/>
      <c r="AN77" s="86"/>
      <c r="AO77" s="242"/>
      <c r="AP77" s="242"/>
      <c r="AQ77" s="81"/>
    </row>
    <row r="78" spans="1:43" s="26" customFormat="1" ht="15">
      <c r="A78" s="25"/>
      <c r="B78" s="80"/>
      <c r="C78" s="242"/>
      <c r="D78" s="241"/>
      <c r="E78" s="242"/>
      <c r="F78" s="242"/>
      <c r="G78" s="242"/>
      <c r="H78" s="242"/>
      <c r="I78" s="242"/>
      <c r="J78" s="85" t="s">
        <v>507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86"/>
      <c r="AH78" s="3"/>
      <c r="AI78" s="3"/>
      <c r="AJ78" s="3"/>
      <c r="AK78" s="3"/>
      <c r="AL78" s="3"/>
      <c r="AM78" s="3"/>
      <c r="AN78" s="86"/>
      <c r="AO78" s="242"/>
      <c r="AP78" s="242"/>
      <c r="AQ78" s="81"/>
    </row>
    <row r="79" spans="1:43" s="26" customFormat="1" ht="15">
      <c r="A79" s="25"/>
      <c r="B79" s="80"/>
      <c r="C79" s="242"/>
      <c r="D79" s="241"/>
      <c r="E79" s="242"/>
      <c r="F79" s="242"/>
      <c r="G79" s="242"/>
      <c r="H79" s="242"/>
      <c r="I79" s="242"/>
      <c r="J79" s="85" t="s">
        <v>508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86"/>
      <c r="AH79" s="3"/>
      <c r="AI79" s="3"/>
      <c r="AJ79" s="3"/>
      <c r="AK79" s="3"/>
      <c r="AL79" s="3"/>
      <c r="AM79" s="3"/>
      <c r="AN79" s="86"/>
      <c r="AO79" s="242"/>
      <c r="AP79" s="242"/>
      <c r="AQ79" s="81"/>
    </row>
    <row r="80" spans="1:43" s="26" customFormat="1" ht="15">
      <c r="A80" s="25"/>
      <c r="B80" s="80"/>
      <c r="C80" s="242"/>
      <c r="D80" s="241"/>
      <c r="E80" s="242"/>
      <c r="F80" s="242"/>
      <c r="G80" s="242"/>
      <c r="H80" s="242"/>
      <c r="I80" s="242"/>
      <c r="J80" s="85" t="s">
        <v>509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86"/>
      <c r="AH80" s="3"/>
      <c r="AI80" s="3"/>
      <c r="AJ80" s="3"/>
      <c r="AK80" s="3"/>
      <c r="AL80" s="3"/>
      <c r="AM80" s="3"/>
      <c r="AN80" s="86"/>
      <c r="AO80" s="242"/>
      <c r="AP80" s="242"/>
      <c r="AQ80" s="81"/>
    </row>
    <row r="81" spans="1:43" s="26" customFormat="1" ht="15">
      <c r="A81" s="25"/>
      <c r="B81" s="80"/>
      <c r="C81" s="242"/>
      <c r="D81" s="241"/>
      <c r="E81" s="242"/>
      <c r="F81" s="242"/>
      <c r="G81" s="242"/>
      <c r="H81" s="242"/>
      <c r="I81" s="242"/>
      <c r="J81" s="85" t="s">
        <v>510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86"/>
      <c r="AH81" s="3"/>
      <c r="AI81" s="3"/>
      <c r="AJ81" s="3"/>
      <c r="AK81" s="3"/>
      <c r="AL81" s="3"/>
      <c r="AM81" s="3"/>
      <c r="AN81" s="86"/>
      <c r="AO81" s="242"/>
      <c r="AP81" s="242"/>
      <c r="AQ81" s="81"/>
    </row>
    <row r="82" spans="1:43" s="26" customFormat="1" ht="6.6" customHeight="1">
      <c r="A82" s="25"/>
      <c r="B82" s="80"/>
      <c r="C82" s="242"/>
      <c r="D82" s="241"/>
      <c r="E82" s="242"/>
      <c r="F82" s="242"/>
      <c r="G82" s="242"/>
      <c r="H82" s="242"/>
      <c r="I82" s="242"/>
      <c r="J82" s="241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3"/>
      <c r="AH82" s="242"/>
      <c r="AI82" s="242"/>
      <c r="AJ82" s="242"/>
      <c r="AK82" s="242"/>
      <c r="AL82" s="242"/>
      <c r="AM82" s="242"/>
      <c r="AN82" s="243"/>
      <c r="AO82" s="242"/>
      <c r="AP82" s="242"/>
      <c r="AQ82" s="81"/>
    </row>
    <row r="83" spans="1:43" s="26" customFormat="1" ht="13.15" customHeight="1">
      <c r="A83" s="25"/>
      <c r="B83" s="80"/>
      <c r="C83" s="242"/>
      <c r="D83" s="398" t="s">
        <v>495</v>
      </c>
      <c r="E83" s="399"/>
      <c r="F83" s="399"/>
      <c r="G83" s="399"/>
      <c r="H83" s="399"/>
      <c r="I83" s="294"/>
      <c r="J83" s="402" t="s">
        <v>823</v>
      </c>
      <c r="K83" s="403"/>
      <c r="L83" s="403"/>
      <c r="M83" s="403"/>
      <c r="N83" s="403"/>
      <c r="O83" s="403"/>
      <c r="P83" s="403"/>
      <c r="Q83" s="403"/>
      <c r="R83" s="403"/>
      <c r="S83" s="403"/>
      <c r="T83" s="403"/>
      <c r="U83" s="403"/>
      <c r="V83" s="403"/>
      <c r="W83" s="403"/>
      <c r="X83" s="403"/>
      <c r="Y83" s="403"/>
      <c r="Z83" s="403"/>
      <c r="AA83" s="403"/>
      <c r="AB83" s="404"/>
      <c r="AC83" s="395" t="s">
        <v>181</v>
      </c>
      <c r="AD83" s="396"/>
      <c r="AE83" s="397"/>
      <c r="AF83" s="405">
        <v>1</v>
      </c>
      <c r="AG83" s="406"/>
      <c r="AH83" s="407"/>
      <c r="AI83" s="293"/>
      <c r="AJ83" s="400">
        <f>AF83*AI83</f>
        <v>0</v>
      </c>
      <c r="AK83" s="401"/>
      <c r="AL83" s="401"/>
      <c r="AM83" s="401"/>
      <c r="AN83" s="408"/>
      <c r="AO83" s="394"/>
      <c r="AP83" s="394"/>
      <c r="AQ83" s="81"/>
    </row>
    <row r="84" spans="1:43" s="26" customFormat="1" ht="15">
      <c r="A84" s="25"/>
      <c r="B84" s="80"/>
      <c r="C84" s="242"/>
      <c r="D84" s="241"/>
      <c r="E84" s="242"/>
      <c r="F84" s="242"/>
      <c r="G84" s="242"/>
      <c r="H84" s="242"/>
      <c r="I84" s="242"/>
      <c r="J84" s="393" t="s">
        <v>511</v>
      </c>
      <c r="K84" s="394"/>
      <c r="L84" s="394"/>
      <c r="M84" s="394"/>
      <c r="N84" s="394"/>
      <c r="O84" s="394"/>
      <c r="P84" s="394"/>
      <c r="Q84" s="394"/>
      <c r="R84" s="394"/>
      <c r="S84" s="394"/>
      <c r="T84" s="394"/>
      <c r="U84" s="394"/>
      <c r="V84" s="394"/>
      <c r="W84" s="394"/>
      <c r="X84" s="394"/>
      <c r="Y84" s="394"/>
      <c r="Z84" s="394"/>
      <c r="AA84" s="394"/>
      <c r="AB84" s="394"/>
      <c r="AC84" s="394"/>
      <c r="AD84" s="394"/>
      <c r="AE84" s="394"/>
      <c r="AF84" s="394"/>
      <c r="AG84" s="243"/>
      <c r="AH84" s="242"/>
      <c r="AI84" s="242"/>
      <c r="AJ84" s="242"/>
      <c r="AK84" s="242"/>
      <c r="AL84" s="242"/>
      <c r="AM84" s="242"/>
      <c r="AN84" s="243"/>
      <c r="AO84" s="242"/>
      <c r="AP84" s="242"/>
      <c r="AQ84" s="81"/>
    </row>
    <row r="85" spans="1:43" s="26" customFormat="1" ht="15">
      <c r="A85" s="25"/>
      <c r="B85" s="80"/>
      <c r="C85" s="242"/>
      <c r="D85" s="241"/>
      <c r="E85" s="242"/>
      <c r="F85" s="242"/>
      <c r="G85" s="242"/>
      <c r="H85" s="242"/>
      <c r="I85" s="242"/>
      <c r="J85" s="85" t="s">
        <v>512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86"/>
      <c r="AH85" s="3"/>
      <c r="AI85" s="3"/>
      <c r="AJ85" s="3"/>
      <c r="AK85" s="3"/>
      <c r="AL85" s="3"/>
      <c r="AM85" s="3"/>
      <c r="AN85" s="86"/>
      <c r="AO85" s="242"/>
      <c r="AP85" s="242"/>
      <c r="AQ85" s="81"/>
    </row>
    <row r="86" spans="1:43" s="26" customFormat="1" ht="15">
      <c r="A86" s="25"/>
      <c r="B86" s="80"/>
      <c r="C86" s="242"/>
      <c r="D86" s="241"/>
      <c r="E86" s="242"/>
      <c r="F86" s="242"/>
      <c r="G86" s="242"/>
      <c r="H86" s="242"/>
      <c r="I86" s="242"/>
      <c r="J86" s="85" t="s">
        <v>513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86"/>
      <c r="AH86" s="3"/>
      <c r="AI86" s="3"/>
      <c r="AJ86" s="3"/>
      <c r="AK86" s="3"/>
      <c r="AL86" s="3"/>
      <c r="AM86" s="3"/>
      <c r="AN86" s="86"/>
      <c r="AO86" s="242"/>
      <c r="AP86" s="242"/>
      <c r="AQ86" s="81"/>
    </row>
    <row r="87" spans="1:43" s="26" customFormat="1" ht="6.6" customHeight="1">
      <c r="A87" s="25"/>
      <c r="B87" s="80"/>
      <c r="C87" s="242"/>
      <c r="D87" s="241"/>
      <c r="E87" s="242"/>
      <c r="F87" s="242"/>
      <c r="G87" s="242"/>
      <c r="H87" s="242"/>
      <c r="I87" s="242"/>
      <c r="J87" s="241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3"/>
      <c r="AH87" s="242"/>
      <c r="AI87" s="242"/>
      <c r="AJ87" s="242"/>
      <c r="AK87" s="242"/>
      <c r="AL87" s="242"/>
      <c r="AM87" s="242"/>
      <c r="AN87" s="243"/>
      <c r="AO87" s="242"/>
      <c r="AP87" s="242"/>
      <c r="AQ87" s="81"/>
    </row>
    <row r="88" spans="1:43" s="26" customFormat="1" ht="13.15" customHeight="1">
      <c r="A88" s="25"/>
      <c r="B88" s="80"/>
      <c r="C88" s="242"/>
      <c r="D88" s="398" t="s">
        <v>496</v>
      </c>
      <c r="E88" s="399"/>
      <c r="F88" s="399"/>
      <c r="G88" s="399"/>
      <c r="H88" s="399"/>
      <c r="I88" s="294"/>
      <c r="J88" s="402" t="s">
        <v>518</v>
      </c>
      <c r="K88" s="403"/>
      <c r="L88" s="403"/>
      <c r="M88" s="403"/>
      <c r="N88" s="403"/>
      <c r="O88" s="403"/>
      <c r="P88" s="403"/>
      <c r="Q88" s="403"/>
      <c r="R88" s="403"/>
      <c r="S88" s="403"/>
      <c r="T88" s="403"/>
      <c r="U88" s="403"/>
      <c r="V88" s="403"/>
      <c r="W88" s="403"/>
      <c r="X88" s="403"/>
      <c r="Y88" s="403"/>
      <c r="Z88" s="403"/>
      <c r="AA88" s="403"/>
      <c r="AB88" s="404"/>
      <c r="AC88" s="395" t="s">
        <v>181</v>
      </c>
      <c r="AD88" s="396"/>
      <c r="AE88" s="397"/>
      <c r="AF88" s="405">
        <v>1</v>
      </c>
      <c r="AG88" s="406"/>
      <c r="AH88" s="407"/>
      <c r="AI88" s="293"/>
      <c r="AJ88" s="400">
        <f>AF88*AI88</f>
        <v>0</v>
      </c>
      <c r="AK88" s="401"/>
      <c r="AL88" s="401"/>
      <c r="AM88" s="401"/>
      <c r="AN88" s="408"/>
      <c r="AO88" s="394"/>
      <c r="AP88" s="394"/>
      <c r="AQ88" s="81"/>
    </row>
    <row r="89" spans="1:43" s="26" customFormat="1" ht="15">
      <c r="A89" s="25"/>
      <c r="B89" s="80"/>
      <c r="C89" s="242"/>
      <c r="D89" s="241"/>
      <c r="E89" s="242"/>
      <c r="F89" s="242"/>
      <c r="G89" s="242"/>
      <c r="H89" s="242"/>
      <c r="I89" s="242"/>
      <c r="J89" s="393" t="s">
        <v>511</v>
      </c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243"/>
      <c r="AH89" s="242"/>
      <c r="AI89" s="242"/>
      <c r="AJ89" s="242"/>
      <c r="AK89" s="242"/>
      <c r="AL89" s="242"/>
      <c r="AM89" s="242"/>
      <c r="AN89" s="243"/>
      <c r="AO89" s="242"/>
      <c r="AP89" s="242"/>
      <c r="AQ89" s="81"/>
    </row>
    <row r="90" spans="1:43" s="26" customFormat="1" ht="15">
      <c r="A90" s="25"/>
      <c r="B90" s="80"/>
      <c r="C90" s="242"/>
      <c r="D90" s="241"/>
      <c r="E90" s="242"/>
      <c r="F90" s="242"/>
      <c r="G90" s="242"/>
      <c r="H90" s="242"/>
      <c r="I90" s="242"/>
      <c r="J90" s="85" t="s">
        <v>517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86"/>
      <c r="AH90" s="3"/>
      <c r="AI90" s="3"/>
      <c r="AJ90" s="3"/>
      <c r="AK90" s="3"/>
      <c r="AL90" s="3"/>
      <c r="AM90" s="3"/>
      <c r="AN90" s="86"/>
      <c r="AO90" s="242"/>
      <c r="AP90" s="242"/>
      <c r="AQ90" s="81"/>
    </row>
    <row r="91" spans="1:43" s="26" customFormat="1" ht="13.15" customHeight="1">
      <c r="A91" s="25"/>
      <c r="B91" s="80"/>
      <c r="C91" s="242"/>
      <c r="D91" s="241"/>
      <c r="E91" s="242"/>
      <c r="F91" s="242"/>
      <c r="G91" s="242"/>
      <c r="H91" s="242"/>
      <c r="I91" s="242"/>
      <c r="J91" s="85" t="s">
        <v>514</v>
      </c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3"/>
      <c r="AH91" s="242"/>
      <c r="AI91" s="242"/>
      <c r="AJ91" s="242"/>
      <c r="AK91" s="242"/>
      <c r="AL91" s="242"/>
      <c r="AM91" s="242"/>
      <c r="AN91" s="243"/>
      <c r="AO91" s="242"/>
      <c r="AP91" s="242"/>
      <c r="AQ91" s="81"/>
    </row>
    <row r="92" spans="1:43" s="26" customFormat="1" ht="13.15" customHeight="1">
      <c r="A92" s="25"/>
      <c r="B92" s="80"/>
      <c r="C92" s="242"/>
      <c r="D92" s="241"/>
      <c r="E92" s="242"/>
      <c r="F92" s="242"/>
      <c r="G92" s="242"/>
      <c r="H92" s="242"/>
      <c r="I92" s="242"/>
      <c r="J92" s="85" t="s">
        <v>515</v>
      </c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3"/>
      <c r="AH92" s="242"/>
      <c r="AI92" s="242"/>
      <c r="AJ92" s="242"/>
      <c r="AK92" s="242"/>
      <c r="AL92" s="242"/>
      <c r="AM92" s="242"/>
      <c r="AN92" s="243"/>
      <c r="AO92" s="242"/>
      <c r="AP92" s="242"/>
      <c r="AQ92" s="81"/>
    </row>
    <row r="93" spans="1:43" s="26" customFormat="1" ht="13.15" customHeight="1">
      <c r="A93" s="25"/>
      <c r="B93" s="80"/>
      <c r="C93" s="242"/>
      <c r="D93" s="241"/>
      <c r="E93" s="242"/>
      <c r="F93" s="242"/>
      <c r="G93" s="242"/>
      <c r="H93" s="242"/>
      <c r="I93" s="242"/>
      <c r="J93" s="85" t="s">
        <v>516</v>
      </c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3"/>
      <c r="AH93" s="242"/>
      <c r="AI93" s="242"/>
      <c r="AJ93" s="242"/>
      <c r="AK93" s="242"/>
      <c r="AL93" s="242"/>
      <c r="AM93" s="242"/>
      <c r="AN93" s="243"/>
      <c r="AO93" s="242"/>
      <c r="AP93" s="242"/>
      <c r="AQ93" s="81"/>
    </row>
    <row r="94" spans="1:43" s="26" customFormat="1" ht="13.15" customHeight="1">
      <c r="A94" s="25"/>
      <c r="B94" s="80"/>
      <c r="C94" s="242"/>
      <c r="D94" s="241"/>
      <c r="E94" s="242"/>
      <c r="F94" s="242"/>
      <c r="G94" s="242"/>
      <c r="H94" s="242"/>
      <c r="I94" s="242"/>
      <c r="J94" s="85" t="s">
        <v>519</v>
      </c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3"/>
      <c r="AH94" s="242"/>
      <c r="AI94" s="242"/>
      <c r="AJ94" s="242"/>
      <c r="AK94" s="242"/>
      <c r="AL94" s="242"/>
      <c r="AM94" s="242"/>
      <c r="AN94" s="243"/>
      <c r="AO94" s="242"/>
      <c r="AP94" s="242"/>
      <c r="AQ94" s="81"/>
    </row>
    <row r="95" spans="1:43" s="26" customFormat="1" ht="13.15" customHeight="1">
      <c r="A95" s="25"/>
      <c r="B95" s="80"/>
      <c r="C95" s="242"/>
      <c r="D95" s="241"/>
      <c r="E95" s="242"/>
      <c r="F95" s="242"/>
      <c r="G95" s="242"/>
      <c r="H95" s="242"/>
      <c r="I95" s="242"/>
      <c r="J95" s="85" t="s">
        <v>520</v>
      </c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3"/>
      <c r="AH95" s="242"/>
      <c r="AI95" s="242"/>
      <c r="AJ95" s="242"/>
      <c r="AK95" s="242"/>
      <c r="AL95" s="242"/>
      <c r="AM95" s="242"/>
      <c r="AN95" s="243"/>
      <c r="AO95" s="242"/>
      <c r="AP95" s="242"/>
      <c r="AQ95" s="81"/>
    </row>
    <row r="96" spans="1:43" s="26" customFormat="1" ht="13.15" customHeight="1">
      <c r="A96" s="25"/>
      <c r="B96" s="80"/>
      <c r="C96" s="242"/>
      <c r="D96" s="241"/>
      <c r="E96" s="242"/>
      <c r="F96" s="242"/>
      <c r="G96" s="242"/>
      <c r="H96" s="242"/>
      <c r="I96" s="242"/>
      <c r="J96" s="85" t="s">
        <v>521</v>
      </c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3"/>
      <c r="AH96" s="242"/>
      <c r="AI96" s="242"/>
      <c r="AJ96" s="242"/>
      <c r="AK96" s="242"/>
      <c r="AL96" s="242"/>
      <c r="AM96" s="242"/>
      <c r="AN96" s="243"/>
      <c r="AO96" s="242"/>
      <c r="AP96" s="242"/>
      <c r="AQ96" s="81"/>
    </row>
    <row r="97" spans="1:43" s="26" customFormat="1" ht="13.15" customHeight="1">
      <c r="A97" s="25"/>
      <c r="B97" s="80"/>
      <c r="C97" s="242"/>
      <c r="D97" s="241"/>
      <c r="E97" s="242"/>
      <c r="F97" s="242"/>
      <c r="G97" s="242"/>
      <c r="H97" s="242"/>
      <c r="I97" s="242"/>
      <c r="J97" s="85" t="s">
        <v>517</v>
      </c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3"/>
      <c r="AH97" s="242"/>
      <c r="AI97" s="242"/>
      <c r="AJ97" s="242"/>
      <c r="AK97" s="242"/>
      <c r="AL97" s="242"/>
      <c r="AM97" s="242"/>
      <c r="AN97" s="243"/>
      <c r="AO97" s="242"/>
      <c r="AP97" s="242"/>
      <c r="AQ97" s="81"/>
    </row>
    <row r="98" spans="1:43" s="26" customFormat="1" ht="13.15" customHeight="1">
      <c r="A98" s="25"/>
      <c r="B98" s="80"/>
      <c r="C98" s="242"/>
      <c r="D98" s="241"/>
      <c r="E98" s="242"/>
      <c r="F98" s="242"/>
      <c r="G98" s="242"/>
      <c r="H98" s="242"/>
      <c r="I98" s="242"/>
      <c r="J98" s="85" t="s">
        <v>517</v>
      </c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3"/>
      <c r="AH98" s="242"/>
      <c r="AI98" s="242"/>
      <c r="AJ98" s="242"/>
      <c r="AK98" s="242"/>
      <c r="AL98" s="242"/>
      <c r="AM98" s="242"/>
      <c r="AN98" s="243"/>
      <c r="AO98" s="242"/>
      <c r="AP98" s="242"/>
      <c r="AQ98" s="81"/>
    </row>
    <row r="99" spans="1:43" s="26" customFormat="1" ht="6.6" customHeight="1">
      <c r="A99" s="25"/>
      <c r="B99" s="80"/>
      <c r="C99" s="242"/>
      <c r="D99" s="241"/>
      <c r="E99" s="242"/>
      <c r="F99" s="242"/>
      <c r="G99" s="242"/>
      <c r="H99" s="242"/>
      <c r="I99" s="242"/>
      <c r="J99" s="241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3"/>
      <c r="AH99" s="242"/>
      <c r="AI99" s="242"/>
      <c r="AJ99" s="242"/>
      <c r="AK99" s="242"/>
      <c r="AL99" s="242"/>
      <c r="AM99" s="242"/>
      <c r="AN99" s="243"/>
      <c r="AO99" s="242"/>
      <c r="AP99" s="242"/>
      <c r="AQ99" s="81"/>
    </row>
    <row r="100" spans="1:43" s="26" customFormat="1" ht="15">
      <c r="A100" s="25"/>
      <c r="B100" s="80"/>
      <c r="C100" s="242"/>
      <c r="D100" s="398" t="s">
        <v>497</v>
      </c>
      <c r="E100" s="399"/>
      <c r="F100" s="399"/>
      <c r="G100" s="399"/>
      <c r="H100" s="399"/>
      <c r="I100" s="294"/>
      <c r="J100" s="402" t="s">
        <v>822</v>
      </c>
      <c r="K100" s="403"/>
      <c r="L100" s="403"/>
      <c r="M100" s="403"/>
      <c r="N100" s="403"/>
      <c r="O100" s="403"/>
      <c r="P100" s="403"/>
      <c r="Q100" s="403"/>
      <c r="R100" s="403"/>
      <c r="S100" s="403"/>
      <c r="T100" s="403"/>
      <c r="U100" s="403"/>
      <c r="V100" s="403"/>
      <c r="W100" s="403"/>
      <c r="X100" s="403"/>
      <c r="Y100" s="403"/>
      <c r="Z100" s="403"/>
      <c r="AA100" s="403"/>
      <c r="AB100" s="404"/>
      <c r="AC100" s="395" t="s">
        <v>181</v>
      </c>
      <c r="AD100" s="396"/>
      <c r="AE100" s="397"/>
      <c r="AF100" s="405">
        <v>1</v>
      </c>
      <c r="AG100" s="406"/>
      <c r="AH100" s="407"/>
      <c r="AI100" s="293"/>
      <c r="AJ100" s="400">
        <f>AF100*AI100</f>
        <v>0</v>
      </c>
      <c r="AK100" s="401"/>
      <c r="AL100" s="401"/>
      <c r="AM100" s="401"/>
      <c r="AN100" s="408"/>
      <c r="AO100" s="394"/>
      <c r="AP100" s="394"/>
      <c r="AQ100" s="81"/>
    </row>
    <row r="101" spans="1:43" s="26" customFormat="1" ht="15">
      <c r="A101" s="25"/>
      <c r="B101" s="80"/>
      <c r="C101" s="242"/>
      <c r="D101" s="241"/>
      <c r="E101" s="242"/>
      <c r="F101" s="242"/>
      <c r="G101" s="242"/>
      <c r="H101" s="242"/>
      <c r="I101" s="242"/>
      <c r="J101" s="393" t="s">
        <v>511</v>
      </c>
      <c r="K101" s="394"/>
      <c r="L101" s="394"/>
      <c r="M101" s="394"/>
      <c r="N101" s="394"/>
      <c r="O101" s="394"/>
      <c r="P101" s="394"/>
      <c r="Q101" s="394"/>
      <c r="R101" s="394"/>
      <c r="S101" s="394"/>
      <c r="T101" s="394"/>
      <c r="U101" s="394"/>
      <c r="V101" s="394"/>
      <c r="W101" s="394"/>
      <c r="X101" s="394"/>
      <c r="Y101" s="394"/>
      <c r="Z101" s="394"/>
      <c r="AA101" s="394"/>
      <c r="AB101" s="394"/>
      <c r="AC101" s="394"/>
      <c r="AD101" s="394"/>
      <c r="AE101" s="394"/>
      <c r="AF101" s="394"/>
      <c r="AG101" s="243"/>
      <c r="AH101" s="242"/>
      <c r="AI101" s="242"/>
      <c r="AJ101" s="242"/>
      <c r="AK101" s="242"/>
      <c r="AL101" s="242"/>
      <c r="AM101" s="242"/>
      <c r="AN101" s="243"/>
      <c r="AO101" s="242"/>
      <c r="AP101" s="242"/>
      <c r="AQ101" s="81"/>
    </row>
    <row r="102" spans="1:43" s="26" customFormat="1" ht="15">
      <c r="A102" s="25"/>
      <c r="B102" s="80"/>
      <c r="C102" s="242"/>
      <c r="D102" s="241"/>
      <c r="E102" s="242"/>
      <c r="F102" s="242"/>
      <c r="G102" s="242"/>
      <c r="H102" s="242"/>
      <c r="I102" s="242"/>
      <c r="J102" s="85" t="s">
        <v>814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86"/>
      <c r="AH102" s="3"/>
      <c r="AI102" s="3"/>
      <c r="AJ102" s="3"/>
      <c r="AK102" s="3"/>
      <c r="AL102" s="3"/>
      <c r="AM102" s="3"/>
      <c r="AN102" s="86"/>
      <c r="AO102" s="242"/>
      <c r="AP102" s="242"/>
      <c r="AQ102" s="81"/>
    </row>
    <row r="103" spans="1:43" s="26" customFormat="1" ht="13.15" customHeight="1">
      <c r="A103" s="25"/>
      <c r="B103" s="80"/>
      <c r="C103" s="242"/>
      <c r="D103" s="241"/>
      <c r="E103" s="242"/>
      <c r="F103" s="242"/>
      <c r="G103" s="242"/>
      <c r="H103" s="242"/>
      <c r="I103" s="242"/>
      <c r="J103" s="85" t="s">
        <v>815</v>
      </c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3"/>
      <c r="AH103" s="242"/>
      <c r="AI103" s="242"/>
      <c r="AJ103" s="242"/>
      <c r="AK103" s="242"/>
      <c r="AL103" s="242"/>
      <c r="AM103" s="242"/>
      <c r="AN103" s="243"/>
      <c r="AO103" s="242"/>
      <c r="AP103" s="242"/>
      <c r="AQ103" s="81"/>
    </row>
    <row r="104" spans="1:43" s="26" customFormat="1" ht="13.15" customHeight="1">
      <c r="A104" s="25"/>
      <c r="B104" s="80"/>
      <c r="C104" s="242"/>
      <c r="D104" s="241"/>
      <c r="E104" s="242"/>
      <c r="F104" s="242"/>
      <c r="G104" s="242"/>
      <c r="H104" s="242"/>
      <c r="I104" s="242"/>
      <c r="J104" s="85" t="s">
        <v>816</v>
      </c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3"/>
      <c r="AH104" s="242"/>
      <c r="AI104" s="242"/>
      <c r="AJ104" s="242"/>
      <c r="AK104" s="242"/>
      <c r="AL104" s="242"/>
      <c r="AM104" s="242"/>
      <c r="AN104" s="243"/>
      <c r="AO104" s="242"/>
      <c r="AP104" s="242"/>
      <c r="AQ104" s="81"/>
    </row>
    <row r="105" spans="1:43" s="26" customFormat="1" ht="13.15" customHeight="1">
      <c r="A105" s="25"/>
      <c r="B105" s="80"/>
      <c r="C105" s="242"/>
      <c r="D105" s="241"/>
      <c r="E105" s="242"/>
      <c r="F105" s="242"/>
      <c r="G105" s="242"/>
      <c r="H105" s="242"/>
      <c r="I105" s="242"/>
      <c r="J105" s="85" t="s">
        <v>817</v>
      </c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3"/>
      <c r="AH105" s="242"/>
      <c r="AI105" s="242"/>
      <c r="AJ105" s="242"/>
      <c r="AK105" s="242"/>
      <c r="AL105" s="242"/>
      <c r="AM105" s="242"/>
      <c r="AN105" s="243"/>
      <c r="AO105" s="242"/>
      <c r="AP105" s="242"/>
      <c r="AQ105" s="81"/>
    </row>
    <row r="106" spans="1:43" s="26" customFormat="1" ht="13.15" customHeight="1">
      <c r="A106" s="25"/>
      <c r="B106" s="80"/>
      <c r="C106" s="242"/>
      <c r="D106" s="241"/>
      <c r="E106" s="242"/>
      <c r="F106" s="242"/>
      <c r="G106" s="242"/>
      <c r="H106" s="242"/>
      <c r="I106" s="242"/>
      <c r="J106" s="85" t="s">
        <v>818</v>
      </c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3"/>
      <c r="AH106" s="242"/>
      <c r="AI106" s="242"/>
      <c r="AJ106" s="242"/>
      <c r="AK106" s="242"/>
      <c r="AL106" s="242"/>
      <c r="AM106" s="242"/>
      <c r="AN106" s="243"/>
      <c r="AO106" s="242"/>
      <c r="AP106" s="242"/>
      <c r="AQ106" s="81"/>
    </row>
    <row r="107" spans="1:43" s="26" customFormat="1" ht="13.15" customHeight="1">
      <c r="A107" s="25"/>
      <c r="B107" s="80"/>
      <c r="C107" s="242"/>
      <c r="D107" s="241"/>
      <c r="E107" s="242"/>
      <c r="F107" s="242"/>
      <c r="G107" s="242"/>
      <c r="H107" s="242"/>
      <c r="I107" s="242"/>
      <c r="J107" s="85" t="s">
        <v>819</v>
      </c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3"/>
      <c r="AH107" s="242"/>
      <c r="AI107" s="242"/>
      <c r="AJ107" s="242"/>
      <c r="AK107" s="242"/>
      <c r="AL107" s="242"/>
      <c r="AM107" s="242"/>
      <c r="AN107" s="243"/>
      <c r="AO107" s="242"/>
      <c r="AP107" s="242"/>
      <c r="AQ107" s="81"/>
    </row>
    <row r="108" spans="1:43" s="26" customFormat="1" ht="6.6" customHeight="1">
      <c r="A108" s="25"/>
      <c r="B108" s="80"/>
      <c r="C108" s="242"/>
      <c r="D108" s="241"/>
      <c r="E108" s="242"/>
      <c r="F108" s="242"/>
      <c r="G108" s="242"/>
      <c r="H108" s="242"/>
      <c r="I108" s="242"/>
      <c r="J108" s="241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3"/>
      <c r="AH108" s="242"/>
      <c r="AI108" s="242"/>
      <c r="AJ108" s="242"/>
      <c r="AK108" s="242"/>
      <c r="AL108" s="242"/>
      <c r="AM108" s="242"/>
      <c r="AN108" s="243"/>
      <c r="AO108" s="242"/>
      <c r="AP108" s="242"/>
      <c r="AQ108" s="81"/>
    </row>
    <row r="109" spans="1:43" s="26" customFormat="1" ht="13.15" customHeight="1">
      <c r="A109" s="25"/>
      <c r="B109" s="80"/>
      <c r="C109" s="242"/>
      <c r="D109" s="398" t="s">
        <v>498</v>
      </c>
      <c r="E109" s="399"/>
      <c r="F109" s="399"/>
      <c r="G109" s="399"/>
      <c r="H109" s="399"/>
      <c r="I109" s="294"/>
      <c r="J109" s="402" t="s">
        <v>522</v>
      </c>
      <c r="K109" s="403"/>
      <c r="L109" s="403"/>
      <c r="M109" s="403"/>
      <c r="N109" s="403"/>
      <c r="O109" s="403"/>
      <c r="P109" s="403"/>
      <c r="Q109" s="403"/>
      <c r="R109" s="403"/>
      <c r="S109" s="403"/>
      <c r="T109" s="403"/>
      <c r="U109" s="403"/>
      <c r="V109" s="403"/>
      <c r="W109" s="403"/>
      <c r="X109" s="403"/>
      <c r="Y109" s="403"/>
      <c r="Z109" s="403"/>
      <c r="AA109" s="403"/>
      <c r="AB109" s="404"/>
      <c r="AC109" s="395" t="s">
        <v>181</v>
      </c>
      <c r="AD109" s="396"/>
      <c r="AE109" s="397"/>
      <c r="AF109" s="405">
        <v>1</v>
      </c>
      <c r="AG109" s="406"/>
      <c r="AH109" s="407"/>
      <c r="AI109" s="293"/>
      <c r="AJ109" s="400">
        <f>AF109*AI109</f>
        <v>0</v>
      </c>
      <c r="AK109" s="401"/>
      <c r="AL109" s="401"/>
      <c r="AM109" s="401"/>
      <c r="AN109" s="408"/>
      <c r="AO109" s="394"/>
      <c r="AP109" s="394"/>
      <c r="AQ109" s="81"/>
    </row>
    <row r="110" spans="1:43" s="26" customFormat="1" ht="15">
      <c r="A110" s="25"/>
      <c r="B110" s="80"/>
      <c r="C110" s="242"/>
      <c r="D110" s="241"/>
      <c r="E110" s="242"/>
      <c r="F110" s="242"/>
      <c r="G110" s="242"/>
      <c r="H110" s="242"/>
      <c r="I110" s="242"/>
      <c r="J110" s="393" t="s">
        <v>511</v>
      </c>
      <c r="K110" s="394"/>
      <c r="L110" s="394"/>
      <c r="M110" s="394"/>
      <c r="N110" s="394"/>
      <c r="O110" s="394"/>
      <c r="P110" s="394"/>
      <c r="Q110" s="394"/>
      <c r="R110" s="394"/>
      <c r="S110" s="394"/>
      <c r="T110" s="394"/>
      <c r="U110" s="394"/>
      <c r="V110" s="394"/>
      <c r="W110" s="394"/>
      <c r="X110" s="394"/>
      <c r="Y110" s="394"/>
      <c r="Z110" s="394"/>
      <c r="AA110" s="394"/>
      <c r="AB110" s="394"/>
      <c r="AC110" s="394"/>
      <c r="AD110" s="394"/>
      <c r="AE110" s="394"/>
      <c r="AF110" s="394"/>
      <c r="AG110" s="243"/>
      <c r="AH110" s="242"/>
      <c r="AI110" s="242"/>
      <c r="AJ110" s="242"/>
      <c r="AK110" s="242"/>
      <c r="AL110" s="242"/>
      <c r="AM110" s="242"/>
      <c r="AN110" s="243"/>
      <c r="AO110" s="242"/>
      <c r="AP110" s="242"/>
      <c r="AQ110" s="81"/>
    </row>
    <row r="111" spans="1:43" s="26" customFormat="1" ht="15">
      <c r="A111" s="25"/>
      <c r="B111" s="80"/>
      <c r="C111" s="242"/>
      <c r="D111" s="241"/>
      <c r="E111" s="242"/>
      <c r="F111" s="242"/>
      <c r="G111" s="242"/>
      <c r="H111" s="242"/>
      <c r="I111" s="242"/>
      <c r="J111" s="85" t="s">
        <v>820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86"/>
      <c r="AH111" s="3"/>
      <c r="AI111" s="3"/>
      <c r="AJ111" s="3"/>
      <c r="AK111" s="3"/>
      <c r="AL111" s="3"/>
      <c r="AM111" s="3"/>
      <c r="AN111" s="86"/>
      <c r="AO111" s="242"/>
      <c r="AP111" s="242"/>
      <c r="AQ111" s="81"/>
    </row>
    <row r="112" spans="1:43" s="26" customFormat="1" ht="15">
      <c r="A112" s="25"/>
      <c r="B112" s="80"/>
      <c r="C112" s="242"/>
      <c r="D112" s="241"/>
      <c r="E112" s="242"/>
      <c r="F112" s="242"/>
      <c r="G112" s="242"/>
      <c r="H112" s="242"/>
      <c r="I112" s="242"/>
      <c r="J112" s="85" t="s">
        <v>821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86"/>
      <c r="AH112" s="3"/>
      <c r="AI112" s="3"/>
      <c r="AJ112" s="3"/>
      <c r="AK112" s="3"/>
      <c r="AL112" s="3"/>
      <c r="AM112" s="3"/>
      <c r="AN112" s="86"/>
      <c r="AO112" s="242"/>
      <c r="AP112" s="242"/>
      <c r="AQ112" s="81"/>
    </row>
    <row r="113" spans="1:43" s="26" customFormat="1" ht="6.6" customHeight="1">
      <c r="A113" s="25"/>
      <c r="B113" s="80"/>
      <c r="C113" s="242"/>
      <c r="D113" s="241"/>
      <c r="E113" s="242"/>
      <c r="F113" s="242"/>
      <c r="G113" s="242"/>
      <c r="H113" s="242"/>
      <c r="I113" s="242"/>
      <c r="J113" s="241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3"/>
      <c r="AH113" s="242"/>
      <c r="AI113" s="242"/>
      <c r="AJ113" s="242"/>
      <c r="AK113" s="242"/>
      <c r="AL113" s="242"/>
      <c r="AM113" s="242"/>
      <c r="AN113" s="243"/>
      <c r="AO113" s="242"/>
      <c r="AP113" s="242"/>
      <c r="AQ113" s="81"/>
    </row>
    <row r="114" spans="1:43" s="1" customFormat="1" ht="6.95" customHeight="1">
      <c r="B114" s="51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</row>
    <row r="123" spans="1:43">
      <c r="I123" s="87" t="s">
        <v>636</v>
      </c>
      <c r="J123" s="88"/>
      <c r="K123" s="89"/>
      <c r="AI123" s="88">
        <f>SUM(AJ68:AM113)</f>
        <v>0</v>
      </c>
    </row>
    <row r="124" spans="1:43">
      <c r="I124" s="87" t="s">
        <v>637</v>
      </c>
      <c r="J124" s="88"/>
      <c r="K124" s="89"/>
      <c r="AI124" s="88">
        <f>AG67</f>
        <v>0</v>
      </c>
    </row>
    <row r="125" spans="1:43">
      <c r="I125" s="87" t="s">
        <v>638</v>
      </c>
      <c r="J125" s="88"/>
      <c r="K125" s="87"/>
      <c r="AI125" s="88">
        <f>AI123-AI124</f>
        <v>0</v>
      </c>
      <c r="AL125" s="87" t="s">
        <v>639</v>
      </c>
    </row>
    <row r="126" spans="1:43">
      <c r="I126" s="87" t="s">
        <v>640</v>
      </c>
      <c r="J126" s="88"/>
      <c r="K126" s="87"/>
      <c r="AI126" s="88">
        <f>AK25-AI123</f>
        <v>0</v>
      </c>
      <c r="AL126" s="87" t="s">
        <v>639</v>
      </c>
    </row>
    <row r="127" spans="1:43">
      <c r="I127" s="87" t="s">
        <v>641</v>
      </c>
      <c r="J127" s="88"/>
      <c r="K127" s="87"/>
      <c r="AI127" s="88">
        <f>AK34-AI123*1.21</f>
        <v>0</v>
      </c>
      <c r="AL127" s="87" t="s">
        <v>639</v>
      </c>
    </row>
  </sheetData>
  <sheetProtection algorithmName="SHA-512" hashValue="vLxSTOA+5W9pWaGaML59BhVzo0HOY0HO6EmomG82i2qnnQ6zh2ilOmdHJ+zzrborZWXf5l82c2PX7OlflOsgDQ==" saltValue="5dhRbrTV/ON/OQJhemCoaA==" spinCount="100000" sheet="1" objects="1" scenarios="1"/>
  <mergeCells count="100">
    <mergeCell ref="C51:G51"/>
    <mergeCell ref="I51:AF51"/>
    <mergeCell ref="AG51:AM51"/>
    <mergeCell ref="AN51:AP51"/>
    <mergeCell ref="AK27:AO27"/>
    <mergeCell ref="L28:O28"/>
    <mergeCell ref="W28:AE28"/>
    <mergeCell ref="AK28:AO28"/>
    <mergeCell ref="L31:O31"/>
    <mergeCell ref="L43:AO43"/>
    <mergeCell ref="AN54:AP54"/>
    <mergeCell ref="L29:O29"/>
    <mergeCell ref="W29:AE29"/>
    <mergeCell ref="AK29:AO29"/>
    <mergeCell ref="L30:O30"/>
    <mergeCell ref="W30:AE30"/>
    <mergeCell ref="AK30:AO30"/>
    <mergeCell ref="W31:AE31"/>
    <mergeCell ref="AK31:AO31"/>
    <mergeCell ref="L32:O32"/>
    <mergeCell ref="W32:AE32"/>
    <mergeCell ref="AK32:AO32"/>
    <mergeCell ref="L44:AO44"/>
    <mergeCell ref="AL46:AQ46"/>
    <mergeCell ref="AL48:AQ48"/>
    <mergeCell ref="AN56:AP56"/>
    <mergeCell ref="D55:H55"/>
    <mergeCell ref="J55:AF55"/>
    <mergeCell ref="AG55:AM55"/>
    <mergeCell ref="AN55:AP55"/>
    <mergeCell ref="D54:H54"/>
    <mergeCell ref="J54:AF54"/>
    <mergeCell ref="D58:H58"/>
    <mergeCell ref="J58:AF58"/>
    <mergeCell ref="AG58:AM58"/>
    <mergeCell ref="D56:H56"/>
    <mergeCell ref="J56:AF56"/>
    <mergeCell ref="AG56:AM56"/>
    <mergeCell ref="AG54:AM54"/>
    <mergeCell ref="AN58:AP58"/>
    <mergeCell ref="D57:H57"/>
    <mergeCell ref="J57:AF57"/>
    <mergeCell ref="AG57:AM57"/>
    <mergeCell ref="AN57:AP57"/>
    <mergeCell ref="D59:H59"/>
    <mergeCell ref="J59:AF59"/>
    <mergeCell ref="AG59:AM59"/>
    <mergeCell ref="AN59:AP59"/>
    <mergeCell ref="AN83:AP83"/>
    <mergeCell ref="J69:AF69"/>
    <mergeCell ref="D66:H66"/>
    <mergeCell ref="J66:AB66"/>
    <mergeCell ref="AC66:AE66"/>
    <mergeCell ref="AF66:AH66"/>
    <mergeCell ref="AJ66:AM66"/>
    <mergeCell ref="AN88:AP88"/>
    <mergeCell ref="D67:H67"/>
    <mergeCell ref="J67:AF67"/>
    <mergeCell ref="AG67:AM67"/>
    <mergeCell ref="AN67:AP67"/>
    <mergeCell ref="D68:H68"/>
    <mergeCell ref="AN68:AP68"/>
    <mergeCell ref="AJ68:AM68"/>
    <mergeCell ref="J68:AB68"/>
    <mergeCell ref="AC68:AE68"/>
    <mergeCell ref="AF68:AH68"/>
    <mergeCell ref="J83:AB83"/>
    <mergeCell ref="AC83:AE83"/>
    <mergeCell ref="AF83:AH83"/>
    <mergeCell ref="AJ83:AM83"/>
    <mergeCell ref="AN100:AP100"/>
    <mergeCell ref="J84:AF84"/>
    <mergeCell ref="AF109:AH109"/>
    <mergeCell ref="K6:AO6"/>
    <mergeCell ref="K7:AO7"/>
    <mergeCell ref="E22:AN22"/>
    <mergeCell ref="AK25:AO25"/>
    <mergeCell ref="L27:O27"/>
    <mergeCell ref="W27:AE27"/>
    <mergeCell ref="D109:H109"/>
    <mergeCell ref="AN109:AP109"/>
    <mergeCell ref="J89:AF89"/>
    <mergeCell ref="D100:H100"/>
    <mergeCell ref="X34:AB34"/>
    <mergeCell ref="AK34:AO34"/>
    <mergeCell ref="D88:H88"/>
    <mergeCell ref="J101:AF101"/>
    <mergeCell ref="J110:AF110"/>
    <mergeCell ref="AC109:AE109"/>
    <mergeCell ref="D83:H83"/>
    <mergeCell ref="AJ109:AM109"/>
    <mergeCell ref="J88:AB88"/>
    <mergeCell ref="AC88:AE88"/>
    <mergeCell ref="AF88:AH88"/>
    <mergeCell ref="AJ88:AM88"/>
    <mergeCell ref="J100:AB100"/>
    <mergeCell ref="AC100:AE100"/>
    <mergeCell ref="AF100:AH100"/>
    <mergeCell ref="AJ100:AM100"/>
    <mergeCell ref="J109:AB109"/>
  </mergeCells>
  <hyperlinks>
    <hyperlink ref="K1:S1" location="C2" tooltip="Rekapitulace stavby" display="1) Rekapitulace stavby" xr:uid="{FF9E69B3-E5DE-4B9E-98C7-F976999782AA}"/>
    <hyperlink ref="W1:AI1" location="C51" tooltip="Rekapitulace objektů stavby a soupisů prací" display="2) Rekapitulace objektů stavby a soupisů prací" xr:uid="{CBA7E01B-6242-42C6-8B88-694901E03D5A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rowBreaks count="1" manualBreakCount="1">
    <brk id="65" min="2" max="4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655"/>
  <sheetViews>
    <sheetView showGridLines="0" view="pageBreakPreview" topLeftCell="B1" zoomScale="130" zoomScaleNormal="100" zoomScaleSheetLayoutView="130" workbookViewId="0">
      <pane ySplit="1" topLeftCell="A1614" activePane="bottomLeft" state="frozen"/>
      <selection activeCell="P8" sqref="P8"/>
      <selection pane="bottomLeft" activeCell="F1610" sqref="F1610"/>
    </sheetView>
  </sheetViews>
  <sheetFormatPr defaultRowHeight="13.5"/>
  <cols>
    <col min="1" max="1" width="8.33203125" hidden="1" customWidth="1"/>
    <col min="2" max="2" width="1.6640625" customWidth="1"/>
    <col min="3" max="3" width="4.6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2.6640625" customWidth="1"/>
    <col min="9" max="9" width="14.83203125" customWidth="1"/>
    <col min="10" max="10" width="23.5" customWidth="1"/>
    <col min="11" max="11" width="15.5" customWidth="1"/>
    <col min="13" max="26" width="0" hidden="1" customWidth="1"/>
  </cols>
  <sheetData>
    <row r="1" spans="1:11" ht="21.75" hidden="1" customHeight="1">
      <c r="A1" s="15"/>
      <c r="B1" s="19"/>
      <c r="C1" s="19"/>
      <c r="D1" s="20" t="s">
        <v>1</v>
      </c>
      <c r="E1" s="19"/>
      <c r="F1" s="18" t="s">
        <v>308</v>
      </c>
      <c r="G1" s="424" t="s">
        <v>309</v>
      </c>
      <c r="H1" s="424"/>
      <c r="I1" s="19"/>
      <c r="J1" s="18" t="s">
        <v>310</v>
      </c>
      <c r="K1" s="20" t="s">
        <v>45</v>
      </c>
    </row>
    <row r="2" spans="1:11" ht="36.950000000000003" hidden="1" customHeight="1"/>
    <row r="3" spans="1:11" ht="6.95" customHeight="1">
      <c r="B3" s="27"/>
      <c r="C3" s="28"/>
      <c r="D3" s="28"/>
      <c r="E3" s="28"/>
      <c r="F3" s="28"/>
      <c r="G3" s="28"/>
      <c r="H3" s="28"/>
      <c r="I3" s="28"/>
      <c r="J3" s="28"/>
      <c r="K3" s="29"/>
    </row>
    <row r="4" spans="1:11" ht="36.950000000000003" customHeight="1">
      <c r="B4" s="30"/>
      <c r="D4" s="31" t="s">
        <v>46</v>
      </c>
      <c r="K4" s="32"/>
    </row>
    <row r="5" spans="1:11" ht="6.95" customHeight="1">
      <c r="B5" s="30"/>
      <c r="K5" s="32"/>
    </row>
    <row r="6" spans="1:11" ht="15">
      <c r="B6" s="30"/>
      <c r="D6" s="35" t="s">
        <v>5</v>
      </c>
      <c r="K6" s="32"/>
    </row>
    <row r="7" spans="1:11" ht="22.5" customHeight="1">
      <c r="B7" s="30"/>
      <c r="E7" s="423" t="str">
        <f>'Rekapitulace stavby'!K6</f>
        <v>Realizace výtahu a rekonstrukce navazujících prostor interiéru budovy Městského úřadu Smržovka</v>
      </c>
      <c r="F7" s="370"/>
      <c r="G7" s="370"/>
      <c r="H7" s="370"/>
      <c r="K7" s="32"/>
    </row>
    <row r="8" spans="1:11" s="1" customFormat="1" ht="15">
      <c r="B8" s="39"/>
      <c r="D8" s="35" t="s">
        <v>47</v>
      </c>
      <c r="K8" s="42"/>
    </row>
    <row r="9" spans="1:11" s="1" customFormat="1" ht="36.950000000000003" customHeight="1">
      <c r="B9" s="39"/>
      <c r="E9" s="425" t="s">
        <v>809</v>
      </c>
      <c r="F9" s="426"/>
      <c r="G9" s="426"/>
      <c r="H9" s="426"/>
      <c r="K9" s="42"/>
    </row>
    <row r="10" spans="1:11" s="1" customFormat="1">
      <c r="B10" s="39"/>
      <c r="K10" s="42"/>
    </row>
    <row r="11" spans="1:11" s="1" customFormat="1" ht="14.45" customHeight="1">
      <c r="B11" s="39"/>
      <c r="D11" s="35" t="s">
        <v>6</v>
      </c>
      <c r="F11" s="36" t="s">
        <v>7</v>
      </c>
      <c r="I11" s="35" t="s">
        <v>8</v>
      </c>
      <c r="J11" s="36" t="s">
        <v>2</v>
      </c>
      <c r="K11" s="42"/>
    </row>
    <row r="12" spans="1:11" s="1" customFormat="1" ht="14.45" customHeight="1">
      <c r="B12" s="39"/>
      <c r="D12" s="35" t="s">
        <v>10</v>
      </c>
      <c r="F12" s="36" t="str">
        <f>'Rekapitulace stavby'!K8</f>
        <v>č.p. 600, st.p.č. 1/1, k.ú. Smržovka [751324]</v>
      </c>
      <c r="I12" s="35" t="s">
        <v>11</v>
      </c>
      <c r="J12" s="92">
        <f>'Rekapitulace stavby'!AN8</f>
        <v>45743</v>
      </c>
      <c r="K12" s="42"/>
    </row>
    <row r="13" spans="1:11" s="1" customFormat="1" ht="10.9" customHeight="1">
      <c r="B13" s="39"/>
      <c r="K13" s="42"/>
    </row>
    <row r="14" spans="1:11" s="1" customFormat="1" ht="14.45" customHeight="1">
      <c r="B14" s="39"/>
      <c r="D14" s="35" t="s">
        <v>12</v>
      </c>
      <c r="I14" s="35" t="s">
        <v>13</v>
      </c>
      <c r="J14" s="36" t="str">
        <f>'Rekapitulace stavby'!AN10</f>
        <v>002 62 579</v>
      </c>
      <c r="K14" s="42"/>
    </row>
    <row r="15" spans="1:11" s="1" customFormat="1" ht="18" customHeight="1">
      <c r="B15" s="39"/>
      <c r="E15" s="36" t="str">
        <f>'Rekapitulace stavby'!E11</f>
        <v>Město Smržovka, nám. T.G.Masaryka č.p. 600, Smržovka, PSČ 46851</v>
      </c>
      <c r="I15" s="35" t="s">
        <v>14</v>
      </c>
      <c r="J15" s="36" t="str">
        <f>'Rekapitulace stavby'!AN11</f>
        <v>CZ00262579</v>
      </c>
      <c r="K15" s="42"/>
    </row>
    <row r="16" spans="1:11" s="1" customFormat="1" ht="6.95" customHeight="1">
      <c r="B16" s="39"/>
      <c r="K16" s="42"/>
    </row>
    <row r="17" spans="2:11" s="1" customFormat="1" ht="14.45" customHeight="1">
      <c r="B17" s="39"/>
      <c r="D17" s="35" t="s">
        <v>15</v>
      </c>
      <c r="I17" s="35" t="s">
        <v>13</v>
      </c>
      <c r="J17" s="36"/>
      <c r="K17" s="42"/>
    </row>
    <row r="18" spans="2:11" s="1" customFormat="1" ht="18" customHeight="1">
      <c r="B18" s="39"/>
      <c r="E18" s="36" t="str">
        <f>IF('Rekapitulace stavby'!E14="Vyplň údaj","",IF('Rekapitulace stavby'!E14="","",'Rekapitulace stavby'!E14))</f>
        <v xml:space="preserve"> </v>
      </c>
      <c r="I18" s="35" t="s">
        <v>14</v>
      </c>
      <c r="J18" s="36" t="str">
        <f>IF('Rekapitulace stavby'!AN14="Vyplň údaj","",IF('Rekapitulace stavby'!AN14="","",'Rekapitulace stavby'!AN14))</f>
        <v/>
      </c>
      <c r="K18" s="42"/>
    </row>
    <row r="19" spans="2:11" s="1" customFormat="1" ht="6.95" customHeight="1">
      <c r="B19" s="39"/>
      <c r="K19" s="42"/>
    </row>
    <row r="20" spans="2:11" s="1" customFormat="1" ht="14.45" customHeight="1">
      <c r="B20" s="39"/>
      <c r="D20" s="35" t="s">
        <v>17</v>
      </c>
      <c r="I20" s="35" t="s">
        <v>13</v>
      </c>
      <c r="J20" s="36" t="str">
        <f>'Rekapitulace stavby'!AN16</f>
        <v>120 45 357</v>
      </c>
      <c r="K20" s="42"/>
    </row>
    <row r="21" spans="2:11" s="1" customFormat="1" ht="18" customHeight="1">
      <c r="B21" s="39"/>
      <c r="E21" s="36" t="str">
        <f>'Rekapitulace stavby'!E17</f>
        <v>LHOTA - STAVITELSTVÍ</v>
      </c>
      <c r="I21" s="35" t="s">
        <v>14</v>
      </c>
      <c r="J21" s="36" t="s">
        <v>2</v>
      </c>
      <c r="K21" s="42"/>
    </row>
    <row r="22" spans="2:11" s="1" customFormat="1" ht="15">
      <c r="B22" s="39"/>
      <c r="E22" s="36" t="str">
        <f>'Rekapitulace stavby'!E18</f>
        <v>sdružení osob Bohumil Lhota a Ing. Vít Lhota, sídlo: Zásada 311, PSČ 46825</v>
      </c>
      <c r="I22" s="35"/>
      <c r="J22" s="36"/>
      <c r="K22" s="42"/>
    </row>
    <row r="23" spans="2:11" s="1" customFormat="1" ht="15">
      <c r="B23" s="39"/>
      <c r="E23" s="36" t="str">
        <f>'Rekapitulace stavby'!E19</f>
        <v>ateliér: Smetanova 1809/82, Jablonec nad Nisou, PSČ 46601</v>
      </c>
      <c r="K23" s="42"/>
    </row>
    <row r="24" spans="2:11" s="1" customFormat="1" ht="14.45" customHeight="1">
      <c r="B24" s="39"/>
      <c r="D24" s="35" t="s">
        <v>18</v>
      </c>
      <c r="K24" s="42"/>
    </row>
    <row r="25" spans="2:11" s="6" customFormat="1" ht="22.5" customHeight="1">
      <c r="B25" s="93"/>
      <c r="E25" s="371" t="str">
        <f>'Rekapitulace stavby'!E21:AN21</f>
        <v>Provedeno na základě předložené dokumentace "DSJ".</v>
      </c>
      <c r="F25" s="427"/>
      <c r="G25" s="427"/>
      <c r="H25" s="427"/>
      <c r="K25" s="94"/>
    </row>
    <row r="26" spans="2:11" s="1" customFormat="1" ht="6.95" customHeight="1">
      <c r="B26" s="39"/>
      <c r="K26" s="42"/>
    </row>
    <row r="27" spans="2:11" s="1" customFormat="1" ht="6.95" customHeight="1">
      <c r="B27" s="39"/>
      <c r="D27" s="61"/>
      <c r="E27" s="61"/>
      <c r="F27" s="61"/>
      <c r="G27" s="61"/>
      <c r="H27" s="61"/>
      <c r="I27" s="61"/>
      <c r="J27" s="61"/>
      <c r="K27" s="95"/>
    </row>
    <row r="28" spans="2:11" s="1" customFormat="1" ht="25.35" customHeight="1">
      <c r="B28" s="39"/>
      <c r="D28" s="96" t="s">
        <v>19</v>
      </c>
      <c r="J28" s="97">
        <f>ROUND(J102,2)</f>
        <v>0</v>
      </c>
      <c r="K28" s="42"/>
    </row>
    <row r="29" spans="2:11" s="1" customFormat="1" ht="6.95" customHeight="1">
      <c r="B29" s="39"/>
      <c r="D29" s="61"/>
      <c r="E29" s="61"/>
      <c r="F29" s="61"/>
      <c r="G29" s="61"/>
      <c r="H29" s="61"/>
      <c r="I29" s="61"/>
      <c r="J29" s="61"/>
      <c r="K29" s="95"/>
    </row>
    <row r="30" spans="2:11" s="1" customFormat="1" ht="14.45" customHeight="1">
      <c r="B30" s="39"/>
      <c r="F30" s="98" t="s">
        <v>21</v>
      </c>
      <c r="I30" s="98" t="s">
        <v>20</v>
      </c>
      <c r="J30" s="98" t="s">
        <v>22</v>
      </c>
      <c r="K30" s="42"/>
    </row>
    <row r="31" spans="2:11" s="1" customFormat="1" ht="14.45" customHeight="1">
      <c r="B31" s="39"/>
      <c r="D31" s="44" t="s">
        <v>23</v>
      </c>
      <c r="E31" s="44" t="s">
        <v>24</v>
      </c>
      <c r="F31" s="99">
        <f>ROUND(SUM(J28), 2)</f>
        <v>0</v>
      </c>
      <c r="I31" s="100">
        <v>0.21</v>
      </c>
      <c r="J31" s="99">
        <f>ROUND(ROUND((SUM(F31)), 2)*I31, 2)</f>
        <v>0</v>
      </c>
      <c r="K31" s="42"/>
    </row>
    <row r="32" spans="2:11" s="1" customFormat="1" ht="14.45" customHeight="1">
      <c r="B32" s="39"/>
      <c r="E32" s="44" t="s">
        <v>25</v>
      </c>
      <c r="F32" s="99">
        <v>0</v>
      </c>
      <c r="I32" s="100">
        <v>0.15</v>
      </c>
      <c r="J32" s="99">
        <f>ROUND(ROUND((SUM(F32)), 2)*I32, 2)</f>
        <v>0</v>
      </c>
      <c r="K32" s="42"/>
    </row>
    <row r="33" spans="2:11" s="1" customFormat="1" ht="14.45" hidden="1" customHeight="1">
      <c r="B33" s="39"/>
      <c r="E33" s="44" t="s">
        <v>26</v>
      </c>
      <c r="F33" s="99" t="e">
        <f>ROUND(SUM(#REF!), 2)</f>
        <v>#REF!</v>
      </c>
      <c r="I33" s="100">
        <v>0.21</v>
      </c>
      <c r="J33" s="99">
        <v>0</v>
      </c>
      <c r="K33" s="42"/>
    </row>
    <row r="34" spans="2:11" s="1" customFormat="1" ht="14.45" hidden="1" customHeight="1">
      <c r="B34" s="39"/>
      <c r="E34" s="44" t="s">
        <v>27</v>
      </c>
      <c r="F34" s="99" t="e">
        <f>ROUND(SUM(#REF!), 2)</f>
        <v>#REF!</v>
      </c>
      <c r="I34" s="100">
        <v>0.15</v>
      </c>
      <c r="J34" s="99">
        <v>0</v>
      </c>
      <c r="K34" s="42"/>
    </row>
    <row r="35" spans="2:11" s="1" customFormat="1" ht="14.45" hidden="1" customHeight="1">
      <c r="B35" s="39"/>
      <c r="E35" s="44" t="s">
        <v>28</v>
      </c>
      <c r="F35" s="99" t="e">
        <f>ROUND(SUM(#REF!), 2)</f>
        <v>#REF!</v>
      </c>
      <c r="I35" s="100">
        <v>0</v>
      </c>
      <c r="J35" s="99">
        <v>0</v>
      </c>
      <c r="K35" s="42"/>
    </row>
    <row r="36" spans="2:11" s="1" customFormat="1" ht="6.95" customHeight="1">
      <c r="B36" s="39"/>
      <c r="K36" s="42"/>
    </row>
    <row r="37" spans="2:11" s="1" customFormat="1" ht="25.35" customHeight="1">
      <c r="B37" s="39"/>
      <c r="C37" s="101"/>
      <c r="D37" s="102" t="s">
        <v>29</v>
      </c>
      <c r="E37" s="62"/>
      <c r="F37" s="62"/>
      <c r="G37" s="103" t="s">
        <v>30</v>
      </c>
      <c r="H37" s="104" t="s">
        <v>31</v>
      </c>
      <c r="I37" s="62"/>
      <c r="J37" s="105">
        <f>SUM(J28:J35)</f>
        <v>0</v>
      </c>
      <c r="K37" s="106"/>
    </row>
    <row r="38" spans="2:11" s="1" customFormat="1" ht="14.45" customHeight="1">
      <c r="B38" s="51"/>
      <c r="C38" s="52"/>
      <c r="D38" s="52"/>
      <c r="E38" s="52"/>
      <c r="F38" s="52"/>
      <c r="G38" s="52"/>
      <c r="H38" s="52"/>
      <c r="I38" s="52"/>
      <c r="J38" s="52"/>
      <c r="K38" s="53"/>
    </row>
    <row r="42" spans="2:11" s="1" customFormat="1" ht="6.95" customHeight="1">
      <c r="B42" s="54"/>
      <c r="C42" s="55"/>
      <c r="D42" s="55"/>
      <c r="E42" s="55"/>
      <c r="F42" s="55"/>
      <c r="G42" s="55"/>
      <c r="H42" s="55"/>
      <c r="I42" s="55"/>
      <c r="J42" s="55"/>
      <c r="K42" s="107"/>
    </row>
    <row r="43" spans="2:11" s="1" customFormat="1" ht="36.950000000000003" customHeight="1">
      <c r="B43" s="39"/>
      <c r="C43" s="31" t="s">
        <v>48</v>
      </c>
      <c r="K43" s="42"/>
    </row>
    <row r="44" spans="2:11" s="1" customFormat="1" ht="6.95" customHeight="1">
      <c r="B44" s="39"/>
      <c r="K44" s="42"/>
    </row>
    <row r="45" spans="2:11" s="1" customFormat="1" ht="14.45" customHeight="1">
      <c r="B45" s="39"/>
      <c r="C45" s="35" t="s">
        <v>5</v>
      </c>
      <c r="K45" s="42"/>
    </row>
    <row r="46" spans="2:11" s="1" customFormat="1" ht="22.5" customHeight="1">
      <c r="B46" s="39"/>
      <c r="E46" s="423" t="str">
        <f>E7</f>
        <v>Realizace výtahu a rekonstrukce navazujících prostor interiéru budovy Městského úřadu Smržovka</v>
      </c>
      <c r="F46" s="375"/>
      <c r="G46" s="375"/>
      <c r="H46" s="375"/>
      <c r="K46" s="42"/>
    </row>
    <row r="47" spans="2:11" s="1" customFormat="1" ht="14.45" customHeight="1">
      <c r="B47" s="39"/>
      <c r="C47" s="35" t="s">
        <v>47</v>
      </c>
      <c r="K47" s="42"/>
    </row>
    <row r="48" spans="2:11" s="1" customFormat="1" ht="23.25" customHeight="1">
      <c r="B48" s="39"/>
      <c r="E48" s="382" t="str">
        <f>E9</f>
        <v>SO 01 - Stávající objekt stavby občanského vybavení č.p. 600</v>
      </c>
      <c r="F48" s="375"/>
      <c r="G48" s="375"/>
      <c r="H48" s="375"/>
      <c r="K48" s="42"/>
    </row>
    <row r="49" spans="2:11" s="1" customFormat="1" ht="6.95" customHeight="1">
      <c r="B49" s="39"/>
      <c r="K49" s="42"/>
    </row>
    <row r="50" spans="2:11" s="1" customFormat="1" ht="18" customHeight="1">
      <c r="B50" s="39"/>
      <c r="C50" s="35" t="s">
        <v>10</v>
      </c>
      <c r="F50" s="36" t="str">
        <f>F12</f>
        <v>č.p. 600, st.p.č. 1/1, k.ú. Smržovka [751324]</v>
      </c>
      <c r="I50" s="35" t="s">
        <v>11</v>
      </c>
      <c r="J50" s="92">
        <f>IF(J12="","",J12)</f>
        <v>45743</v>
      </c>
      <c r="K50" s="42"/>
    </row>
    <row r="51" spans="2:11" s="1" customFormat="1" ht="6.95" customHeight="1">
      <c r="B51" s="39"/>
      <c r="K51" s="42"/>
    </row>
    <row r="52" spans="2:11" s="1" customFormat="1" ht="15">
      <c r="B52" s="39"/>
      <c r="C52" s="35" t="s">
        <v>12</v>
      </c>
      <c r="F52" s="36" t="str">
        <f>E15</f>
        <v>Město Smržovka, nám. T.G.Masaryka č.p. 600, Smržovka, PSČ 46851</v>
      </c>
      <c r="I52" s="35" t="s">
        <v>17</v>
      </c>
      <c r="J52" s="36" t="str">
        <f>E21</f>
        <v>LHOTA - STAVITELSTVÍ</v>
      </c>
      <c r="K52" s="42"/>
    </row>
    <row r="53" spans="2:11" s="1" customFormat="1" ht="14.45" customHeight="1">
      <c r="B53" s="39"/>
      <c r="C53" s="35" t="s">
        <v>15</v>
      </c>
      <c r="F53" s="36" t="str">
        <f>IF(E18="","",E18)</f>
        <v xml:space="preserve"> </v>
      </c>
      <c r="K53" s="42"/>
    </row>
    <row r="54" spans="2:11" s="1" customFormat="1" ht="10.35" customHeight="1">
      <c r="B54" s="39"/>
      <c r="K54" s="42"/>
    </row>
    <row r="55" spans="2:11" s="1" customFormat="1" ht="29.25" customHeight="1">
      <c r="B55" s="39"/>
      <c r="C55" s="108" t="s">
        <v>49</v>
      </c>
      <c r="D55" s="101"/>
      <c r="E55" s="101"/>
      <c r="F55" s="101"/>
      <c r="G55" s="101"/>
      <c r="H55" s="101"/>
      <c r="I55" s="101"/>
      <c r="J55" s="109" t="s">
        <v>50</v>
      </c>
      <c r="K55" s="110"/>
    </row>
    <row r="56" spans="2:11" s="1" customFormat="1" ht="10.35" customHeight="1">
      <c r="B56" s="39"/>
      <c r="K56" s="42"/>
    </row>
    <row r="57" spans="2:11" s="1" customFormat="1" ht="29.25" customHeight="1">
      <c r="B57" s="39"/>
      <c r="C57" s="111" t="s">
        <v>51</v>
      </c>
      <c r="J57" s="97">
        <f>J102</f>
        <v>0</v>
      </c>
      <c r="K57" s="42"/>
    </row>
    <row r="58" spans="2:11" s="7" customFormat="1" ht="24.95" customHeight="1">
      <c r="B58" s="112"/>
      <c r="D58" s="113" t="s">
        <v>52</v>
      </c>
      <c r="E58" s="114"/>
      <c r="F58" s="114"/>
      <c r="G58" s="114"/>
      <c r="H58" s="114"/>
      <c r="I58" s="114"/>
      <c r="J58" s="115">
        <f>J103</f>
        <v>0</v>
      </c>
      <c r="K58" s="116"/>
    </row>
    <row r="59" spans="2:11" s="8" customFormat="1" ht="19.899999999999999" customHeight="1">
      <c r="B59" s="117"/>
      <c r="D59" s="118" t="s">
        <v>68</v>
      </c>
      <c r="E59" s="119"/>
      <c r="F59" s="119"/>
      <c r="G59" s="119"/>
      <c r="H59" s="119"/>
      <c r="I59" s="119"/>
      <c r="J59" s="120">
        <f>J104</f>
        <v>0</v>
      </c>
      <c r="K59" s="121"/>
    </row>
    <row r="60" spans="2:11" s="8" customFormat="1" ht="19.899999999999999" customHeight="1">
      <c r="B60" s="117"/>
      <c r="D60" s="118" t="s">
        <v>69</v>
      </c>
      <c r="E60" s="119"/>
      <c r="F60" s="119"/>
      <c r="G60" s="119"/>
      <c r="H60" s="119"/>
      <c r="I60" s="119"/>
      <c r="J60" s="120">
        <f>J105</f>
        <v>0</v>
      </c>
      <c r="K60" s="121"/>
    </row>
    <row r="61" spans="2:11" s="8" customFormat="1" ht="19.899999999999999" customHeight="1">
      <c r="B61" s="117"/>
      <c r="D61" s="118" t="s">
        <v>70</v>
      </c>
      <c r="E61" s="119"/>
      <c r="F61" s="119"/>
      <c r="G61" s="119"/>
      <c r="H61" s="119"/>
      <c r="I61" s="119"/>
      <c r="J61" s="120">
        <f>J106</f>
        <v>0</v>
      </c>
      <c r="K61" s="121"/>
    </row>
    <row r="62" spans="2:11" s="8" customFormat="1" ht="19.899999999999999" customHeight="1">
      <c r="B62" s="117"/>
      <c r="D62" s="118" t="s">
        <v>71</v>
      </c>
      <c r="E62" s="119"/>
      <c r="F62" s="119"/>
      <c r="G62" s="119"/>
      <c r="H62" s="119"/>
      <c r="I62" s="119"/>
      <c r="J62" s="120">
        <f>J142</f>
        <v>0</v>
      </c>
      <c r="K62" s="121"/>
    </row>
    <row r="63" spans="2:11" s="8" customFormat="1" ht="19.899999999999999" customHeight="1">
      <c r="B63" s="117"/>
      <c r="D63" s="118" t="s">
        <v>72</v>
      </c>
      <c r="E63" s="119"/>
      <c r="F63" s="119"/>
      <c r="G63" s="119"/>
      <c r="H63" s="119"/>
      <c r="I63" s="119"/>
      <c r="J63" s="120">
        <f>J197</f>
        <v>0</v>
      </c>
      <c r="K63" s="121"/>
    </row>
    <row r="64" spans="2:11" s="8" customFormat="1" ht="19.899999999999999" customHeight="1">
      <c r="B64" s="117"/>
      <c r="D64" s="118" t="s">
        <v>73</v>
      </c>
      <c r="E64" s="119"/>
      <c r="F64" s="119"/>
      <c r="G64" s="119"/>
      <c r="H64" s="119"/>
      <c r="I64" s="119"/>
      <c r="J64" s="120">
        <f>J415</f>
        <v>0</v>
      </c>
      <c r="K64" s="121"/>
    </row>
    <row r="65" spans="2:11" s="8" customFormat="1" ht="19.899999999999999" customHeight="1">
      <c r="B65" s="117"/>
      <c r="D65" s="118" t="s">
        <v>74</v>
      </c>
      <c r="E65" s="119"/>
      <c r="F65" s="119"/>
      <c r="G65" s="119"/>
      <c r="H65" s="119"/>
      <c r="I65" s="119"/>
      <c r="J65" s="120">
        <f>J583</f>
        <v>0</v>
      </c>
      <c r="K65" s="121"/>
    </row>
    <row r="66" spans="2:11" s="7" customFormat="1" ht="24.95" customHeight="1">
      <c r="B66" s="112"/>
      <c r="D66" s="113" t="s">
        <v>75</v>
      </c>
      <c r="E66" s="114"/>
      <c r="F66" s="114"/>
      <c r="G66" s="114"/>
      <c r="H66" s="114"/>
      <c r="I66" s="114"/>
      <c r="J66" s="115">
        <f>J587</f>
        <v>0</v>
      </c>
      <c r="K66" s="116"/>
    </row>
    <row r="67" spans="2:11" s="8" customFormat="1" ht="19.899999999999999" customHeight="1">
      <c r="B67" s="117"/>
      <c r="D67" s="118" t="s">
        <v>76</v>
      </c>
      <c r="E67" s="119"/>
      <c r="F67" s="119"/>
      <c r="G67" s="119"/>
      <c r="H67" s="119"/>
      <c r="I67" s="119"/>
      <c r="J67" s="120">
        <f>J588</f>
        <v>0</v>
      </c>
      <c r="K67" s="121"/>
    </row>
    <row r="68" spans="2:11" s="8" customFormat="1" ht="19.899999999999999" customHeight="1">
      <c r="B68" s="117"/>
      <c r="D68" s="118" t="s">
        <v>77</v>
      </c>
      <c r="E68" s="119"/>
      <c r="F68" s="119"/>
      <c r="G68" s="119"/>
      <c r="H68" s="119"/>
      <c r="I68" s="119"/>
      <c r="J68" s="120">
        <f>J599</f>
        <v>0</v>
      </c>
      <c r="K68" s="121"/>
    </row>
    <row r="69" spans="2:11" s="8" customFormat="1" ht="19.899999999999999" customHeight="1">
      <c r="B69" s="117"/>
      <c r="D69" s="118" t="s">
        <v>78</v>
      </c>
      <c r="E69" s="119"/>
      <c r="F69" s="119"/>
      <c r="G69" s="119"/>
      <c r="H69" s="119"/>
      <c r="I69" s="119"/>
      <c r="J69" s="120">
        <f>J622</f>
        <v>0</v>
      </c>
      <c r="K69" s="121"/>
    </row>
    <row r="70" spans="2:11" s="8" customFormat="1" ht="19.899999999999999" customHeight="1">
      <c r="B70" s="117"/>
      <c r="D70" s="118" t="s">
        <v>79</v>
      </c>
      <c r="E70" s="119"/>
      <c r="F70" s="119"/>
      <c r="G70" s="119"/>
      <c r="H70" s="119"/>
      <c r="I70" s="119"/>
      <c r="J70" s="120">
        <f>J820</f>
        <v>0</v>
      </c>
      <c r="K70" s="121"/>
    </row>
    <row r="71" spans="2:11" s="8" customFormat="1" ht="19.899999999999999" customHeight="1">
      <c r="B71" s="117"/>
      <c r="D71" s="118" t="s">
        <v>573</v>
      </c>
      <c r="E71" s="119"/>
      <c r="F71" s="119"/>
      <c r="G71" s="119"/>
      <c r="H71" s="119"/>
      <c r="I71" s="119"/>
      <c r="J71" s="120">
        <f>J903</f>
        <v>0</v>
      </c>
      <c r="K71" s="121"/>
    </row>
    <row r="72" spans="2:11" s="8" customFormat="1" ht="19.899999999999999" customHeight="1">
      <c r="B72" s="117"/>
      <c r="D72" s="118" t="s">
        <v>80</v>
      </c>
      <c r="E72" s="119"/>
      <c r="F72" s="119"/>
      <c r="G72" s="119"/>
      <c r="H72" s="119"/>
      <c r="I72" s="119"/>
      <c r="J72" s="120">
        <f>J1231</f>
        <v>0</v>
      </c>
      <c r="K72" s="121"/>
    </row>
    <row r="73" spans="2:11" s="8" customFormat="1" ht="19.899999999999999" customHeight="1">
      <c r="B73" s="117"/>
      <c r="D73" s="118" t="s">
        <v>81</v>
      </c>
      <c r="E73" s="119"/>
      <c r="F73" s="119"/>
      <c r="G73" s="119"/>
      <c r="H73" s="119"/>
      <c r="I73" s="119"/>
      <c r="J73" s="120">
        <f>J1267</f>
        <v>0</v>
      </c>
      <c r="K73" s="121"/>
    </row>
    <row r="74" spans="2:11" s="8" customFormat="1" ht="19.899999999999999" customHeight="1">
      <c r="B74" s="117"/>
      <c r="D74" s="118" t="s">
        <v>82</v>
      </c>
      <c r="E74" s="119"/>
      <c r="F74" s="119"/>
      <c r="G74" s="119"/>
      <c r="H74" s="119"/>
      <c r="I74" s="119"/>
      <c r="J74" s="120">
        <f>J1304</f>
        <v>0</v>
      </c>
      <c r="K74" s="121"/>
    </row>
    <row r="75" spans="2:11" s="8" customFormat="1" ht="19.899999999999999" customHeight="1">
      <c r="B75" s="117"/>
      <c r="D75" s="118" t="s">
        <v>83</v>
      </c>
      <c r="E75" s="119"/>
      <c r="F75" s="119"/>
      <c r="G75" s="119"/>
      <c r="H75" s="119"/>
      <c r="I75" s="119"/>
      <c r="J75" s="120">
        <f>J1312</f>
        <v>0</v>
      </c>
      <c r="K75" s="121"/>
    </row>
    <row r="76" spans="2:11" s="8" customFormat="1" ht="19.899999999999999" customHeight="1">
      <c r="B76" s="117"/>
      <c r="D76" s="118" t="s">
        <v>84</v>
      </c>
      <c r="E76" s="119"/>
      <c r="F76" s="119"/>
      <c r="G76" s="119"/>
      <c r="H76" s="119"/>
      <c r="I76" s="119"/>
      <c r="J76" s="120">
        <f>J1313</f>
        <v>0</v>
      </c>
      <c r="K76" s="121"/>
    </row>
    <row r="77" spans="2:11" s="8" customFormat="1" ht="19.899999999999999" customHeight="1">
      <c r="B77" s="117"/>
      <c r="D77" s="118" t="s">
        <v>85</v>
      </c>
      <c r="E77" s="119"/>
      <c r="F77" s="119"/>
      <c r="G77" s="119"/>
      <c r="H77" s="119"/>
      <c r="I77" s="119"/>
      <c r="J77" s="120">
        <f>J1442</f>
        <v>0</v>
      </c>
      <c r="K77" s="121"/>
    </row>
    <row r="78" spans="2:11" s="8" customFormat="1" ht="19.899999999999999" customHeight="1">
      <c r="B78" s="117"/>
      <c r="D78" s="118" t="s">
        <v>86</v>
      </c>
      <c r="E78" s="119"/>
      <c r="F78" s="119"/>
      <c r="G78" s="119"/>
      <c r="H78" s="119"/>
      <c r="I78" s="119"/>
      <c r="J78" s="120">
        <f>J1466</f>
        <v>0</v>
      </c>
      <c r="K78" s="121"/>
    </row>
    <row r="79" spans="2:11" s="8" customFormat="1" ht="19.899999999999999" customHeight="1">
      <c r="B79" s="117"/>
      <c r="D79" s="118" t="s">
        <v>87</v>
      </c>
      <c r="E79" s="119"/>
      <c r="F79" s="119"/>
      <c r="G79" s="119"/>
      <c r="H79" s="119"/>
      <c r="I79" s="119"/>
      <c r="J79" s="120">
        <f>J1536</f>
        <v>0</v>
      </c>
      <c r="K79" s="121"/>
    </row>
    <row r="80" spans="2:11" s="8" customFormat="1" ht="19.899999999999999" customHeight="1">
      <c r="B80" s="117"/>
      <c r="D80" s="118" t="s">
        <v>88</v>
      </c>
      <c r="E80" s="119"/>
      <c r="F80" s="119"/>
      <c r="G80" s="119"/>
      <c r="H80" s="119"/>
      <c r="I80" s="119"/>
      <c r="J80" s="120">
        <f>J1558</f>
        <v>0</v>
      </c>
      <c r="K80" s="121"/>
    </row>
    <row r="81" spans="2:11" s="8" customFormat="1" ht="19.899999999999999" customHeight="1">
      <c r="B81" s="117"/>
      <c r="D81" s="118" t="s">
        <v>89</v>
      </c>
      <c r="E81" s="119"/>
      <c r="F81" s="119"/>
      <c r="G81" s="119"/>
      <c r="H81" s="119"/>
      <c r="I81" s="119"/>
      <c r="J81" s="120">
        <f>J1581</f>
        <v>0</v>
      </c>
      <c r="K81" s="121"/>
    </row>
    <row r="82" spans="2:11" s="8" customFormat="1" ht="19.899999999999999" customHeight="1">
      <c r="B82" s="117"/>
      <c r="D82" s="118" t="s">
        <v>90</v>
      </c>
      <c r="E82" s="119"/>
      <c r="F82" s="119"/>
      <c r="G82" s="119"/>
      <c r="H82" s="119"/>
      <c r="I82" s="119"/>
      <c r="J82" s="120">
        <f>J1634</f>
        <v>0</v>
      </c>
      <c r="K82" s="121"/>
    </row>
    <row r="83" spans="2:11" s="1" customFormat="1" ht="21.75" customHeight="1">
      <c r="B83" s="39"/>
      <c r="K83" s="42"/>
    </row>
    <row r="84" spans="2:11" s="1" customFormat="1" ht="6.95" customHeight="1">
      <c r="B84" s="51"/>
      <c r="C84" s="52"/>
      <c r="D84" s="52"/>
      <c r="E84" s="52"/>
      <c r="F84" s="52"/>
      <c r="G84" s="52"/>
      <c r="H84" s="52"/>
      <c r="I84" s="52"/>
      <c r="J84" s="52"/>
      <c r="K84" s="53"/>
    </row>
    <row r="88" spans="2:11" s="1" customFormat="1" ht="6.95" customHeight="1">
      <c r="B88" s="54"/>
      <c r="C88" s="55"/>
      <c r="D88" s="55"/>
      <c r="E88" s="55"/>
      <c r="F88" s="55"/>
      <c r="G88" s="55"/>
      <c r="H88" s="55"/>
      <c r="I88" s="55"/>
      <c r="J88" s="55"/>
      <c r="K88" s="55"/>
    </row>
    <row r="89" spans="2:11" s="1" customFormat="1" ht="36.950000000000003" customHeight="1">
      <c r="B89" s="39"/>
      <c r="C89" s="31" t="s">
        <v>54</v>
      </c>
    </row>
    <row r="90" spans="2:11" s="1" customFormat="1" ht="6.95" customHeight="1">
      <c r="B90" s="39"/>
    </row>
    <row r="91" spans="2:11" s="1" customFormat="1" ht="14.45" customHeight="1">
      <c r="B91" s="39"/>
      <c r="C91" s="35" t="s">
        <v>5</v>
      </c>
    </row>
    <row r="92" spans="2:11" s="1" customFormat="1" ht="22.5" customHeight="1">
      <c r="B92" s="39"/>
      <c r="E92" s="423" t="str">
        <f>E7</f>
        <v>Realizace výtahu a rekonstrukce navazujících prostor interiéru budovy Městského úřadu Smržovka</v>
      </c>
      <c r="F92" s="375"/>
      <c r="G92" s="375"/>
      <c r="H92" s="375"/>
    </row>
    <row r="93" spans="2:11" s="1" customFormat="1" ht="14.45" customHeight="1">
      <c r="B93" s="39"/>
      <c r="C93" s="35" t="s">
        <v>47</v>
      </c>
    </row>
    <row r="94" spans="2:11" s="1" customFormat="1" ht="23.25" customHeight="1">
      <c r="B94" s="39"/>
      <c r="E94" s="382" t="str">
        <f>E9</f>
        <v>SO 01 - Stávající objekt stavby občanského vybavení č.p. 600</v>
      </c>
      <c r="F94" s="375"/>
      <c r="G94" s="375"/>
      <c r="H94" s="375"/>
    </row>
    <row r="95" spans="2:11" s="1" customFormat="1" ht="6.95" customHeight="1">
      <c r="B95" s="39"/>
    </row>
    <row r="96" spans="2:11" s="1" customFormat="1" ht="18" customHeight="1">
      <c r="B96" s="39"/>
      <c r="C96" s="35" t="s">
        <v>10</v>
      </c>
      <c r="F96" s="36" t="str">
        <f>F12</f>
        <v>č.p. 600, st.p.č. 1/1, k.ú. Smržovka [751324]</v>
      </c>
      <c r="I96" s="35" t="s">
        <v>11</v>
      </c>
      <c r="J96" s="92">
        <f>IF(J12="","",J12)</f>
        <v>45743</v>
      </c>
    </row>
    <row r="97" spans="2:16" s="1" customFormat="1" ht="6.95" customHeight="1">
      <c r="B97" s="39"/>
    </row>
    <row r="98" spans="2:16" s="1" customFormat="1" ht="15">
      <c r="B98" s="39"/>
      <c r="C98" s="35" t="s">
        <v>12</v>
      </c>
      <c r="F98" s="36" t="str">
        <f>E15</f>
        <v>Město Smržovka, nám. T.G.Masaryka č.p. 600, Smržovka, PSČ 46851</v>
      </c>
      <c r="I98" s="35" t="s">
        <v>17</v>
      </c>
      <c r="J98" s="36" t="str">
        <f>E21</f>
        <v>LHOTA - STAVITELSTVÍ</v>
      </c>
    </row>
    <row r="99" spans="2:16" s="1" customFormat="1" ht="14.45" customHeight="1">
      <c r="B99" s="39"/>
      <c r="C99" s="35" t="s">
        <v>15</v>
      </c>
      <c r="F99" s="36" t="str">
        <f>IF(E18="","",E18)</f>
        <v xml:space="preserve"> </v>
      </c>
    </row>
    <row r="100" spans="2:16" s="1" customFormat="1" ht="10.35" customHeight="1">
      <c r="B100" s="39"/>
    </row>
    <row r="101" spans="2:16" s="9" customFormat="1" ht="29.25" customHeight="1">
      <c r="B101" s="122"/>
      <c r="C101" s="123" t="s">
        <v>55</v>
      </c>
      <c r="D101" s="124" t="s">
        <v>37</v>
      </c>
      <c r="E101" s="124" t="s">
        <v>33</v>
      </c>
      <c r="F101" s="124" t="s">
        <v>56</v>
      </c>
      <c r="G101" s="124" t="s">
        <v>57</v>
      </c>
      <c r="H101" s="124" t="s">
        <v>58</v>
      </c>
      <c r="I101" s="125" t="s">
        <v>59</v>
      </c>
      <c r="J101" s="124" t="s">
        <v>50</v>
      </c>
      <c r="K101" s="126" t="s">
        <v>60</v>
      </c>
    </row>
    <row r="102" spans="2:16" s="1" customFormat="1" ht="29.25" customHeight="1">
      <c r="B102" s="39"/>
      <c r="C102" s="64" t="s">
        <v>51</v>
      </c>
      <c r="J102" s="127">
        <f>J103+J587</f>
        <v>0</v>
      </c>
    </row>
    <row r="103" spans="2:16" s="10" customFormat="1" ht="37.35" customHeight="1">
      <c r="B103" s="128"/>
      <c r="D103" s="129" t="s">
        <v>39</v>
      </c>
      <c r="E103" s="130" t="s">
        <v>62</v>
      </c>
      <c r="F103" s="130" t="s">
        <v>63</v>
      </c>
      <c r="J103" s="131">
        <f>J104+J105+J106+J142+J197+J415+J583</f>
        <v>0</v>
      </c>
    </row>
    <row r="104" spans="2:16" s="10" customFormat="1" ht="19.899999999999999" customHeight="1">
      <c r="B104" s="128"/>
      <c r="D104" s="129" t="s">
        <v>39</v>
      </c>
      <c r="E104" s="133" t="s">
        <v>9</v>
      </c>
      <c r="F104" s="133" t="s">
        <v>91</v>
      </c>
      <c r="J104" s="134">
        <v>0</v>
      </c>
    </row>
    <row r="105" spans="2:16" s="10" customFormat="1" ht="29.85" customHeight="1">
      <c r="B105" s="128"/>
      <c r="D105" s="129" t="s">
        <v>39</v>
      </c>
      <c r="E105" s="133" t="s">
        <v>42</v>
      </c>
      <c r="F105" s="133" t="s">
        <v>106</v>
      </c>
      <c r="J105" s="134">
        <v>0</v>
      </c>
    </row>
    <row r="106" spans="2:16" s="10" customFormat="1" ht="29.85" customHeight="1">
      <c r="B106" s="128"/>
      <c r="D106" s="129" t="s">
        <v>39</v>
      </c>
      <c r="E106" s="133" t="s">
        <v>64</v>
      </c>
      <c r="F106" s="133" t="s">
        <v>116</v>
      </c>
      <c r="J106" s="134">
        <f>SUM(J107:J141)</f>
        <v>0</v>
      </c>
    </row>
    <row r="107" spans="2:16" s="1" customFormat="1" ht="31.5" customHeight="1">
      <c r="B107" s="39"/>
      <c r="C107" s="135">
        <v>1</v>
      </c>
      <c r="D107" s="135" t="s">
        <v>65</v>
      </c>
      <c r="E107" s="136" t="s">
        <v>1426</v>
      </c>
      <c r="F107" s="137" t="s">
        <v>1427</v>
      </c>
      <c r="G107" s="138" t="s">
        <v>94</v>
      </c>
      <c r="H107" s="139">
        <f>H116</f>
        <v>3.4844400000000006</v>
      </c>
      <c r="I107" s="90"/>
      <c r="J107" s="140">
        <f>ROUND(I107*H107,2)</f>
        <v>0</v>
      </c>
      <c r="K107" s="137"/>
      <c r="P107" s="346">
        <f>H107*2.05</f>
        <v>7.1431020000000007</v>
      </c>
    </row>
    <row r="108" spans="2:16" s="11" customFormat="1">
      <c r="B108" s="141"/>
      <c r="D108" s="142" t="s">
        <v>95</v>
      </c>
      <c r="E108" s="143" t="s">
        <v>2</v>
      </c>
      <c r="F108" s="144" t="s">
        <v>1430</v>
      </c>
      <c r="H108" s="145">
        <f>((0.2*2.2)*2+(0.2*1))*0.1</f>
        <v>0.10800000000000001</v>
      </c>
    </row>
    <row r="109" spans="2:16" s="11" customFormat="1" ht="27">
      <c r="B109" s="141"/>
      <c r="D109" s="142" t="s">
        <v>95</v>
      </c>
      <c r="E109" s="143" t="s">
        <v>2</v>
      </c>
      <c r="F109" s="144" t="s">
        <v>1436</v>
      </c>
      <c r="H109" s="145">
        <f>((0.2*2.87)*2+(0.2*1.74))*0.35</f>
        <v>0.52360000000000007</v>
      </c>
    </row>
    <row r="110" spans="2:16" s="11" customFormat="1" ht="27">
      <c r="B110" s="141"/>
      <c r="D110" s="142" t="s">
        <v>95</v>
      </c>
      <c r="E110" s="143" t="s">
        <v>2</v>
      </c>
      <c r="F110" s="144" t="s">
        <v>1428</v>
      </c>
      <c r="H110" s="145">
        <f>((0.2*2.2)*2+(0.2*1.2))*0.35</f>
        <v>0.39200000000000002</v>
      </c>
    </row>
    <row r="111" spans="2:16" s="11" customFormat="1" ht="27">
      <c r="B111" s="141"/>
      <c r="D111" s="142" t="s">
        <v>95</v>
      </c>
      <c r="E111" s="143" t="s">
        <v>2</v>
      </c>
      <c r="F111" s="144" t="s">
        <v>2320</v>
      </c>
      <c r="H111" s="145">
        <f>((0.2*2.2)*2+(0.25*1))*0.1</f>
        <v>0.11300000000000002</v>
      </c>
    </row>
    <row r="112" spans="2:16" s="11" customFormat="1" ht="27">
      <c r="B112" s="141"/>
      <c r="D112" s="142" t="s">
        <v>95</v>
      </c>
      <c r="E112" s="143" t="s">
        <v>2</v>
      </c>
      <c r="F112" s="144" t="s">
        <v>1431</v>
      </c>
      <c r="H112" s="145">
        <f>((0.25*2.5)*2+(0.2*1.25))*0.15</f>
        <v>0.22499999999999998</v>
      </c>
    </row>
    <row r="113" spans="2:16" s="13" customFormat="1" ht="27">
      <c r="B113" s="244"/>
      <c r="D113" s="142" t="s">
        <v>95</v>
      </c>
      <c r="E113" s="245" t="s">
        <v>2</v>
      </c>
      <c r="F113" s="144" t="s">
        <v>2322</v>
      </c>
      <c r="H113" s="145">
        <f>((0.435*3)+(0.2*3)+(0.2*1.73))*0.34+(0.53*0.34)*(2.8+0.2)</f>
        <v>1.3059400000000001</v>
      </c>
    </row>
    <row r="114" spans="2:16" s="11" customFormat="1" ht="27">
      <c r="B114" s="141"/>
      <c r="D114" s="142" t="s">
        <v>95</v>
      </c>
      <c r="E114" s="143" t="s">
        <v>2</v>
      </c>
      <c r="F114" s="144" t="s">
        <v>1432</v>
      </c>
      <c r="H114" s="145">
        <f>((0.2*2.2)*2+(0.2*1.3))*0.445</f>
        <v>0.50730000000000008</v>
      </c>
    </row>
    <row r="115" spans="2:16" s="11" customFormat="1">
      <c r="B115" s="141"/>
      <c r="D115" s="142" t="s">
        <v>95</v>
      </c>
      <c r="E115" s="143" t="s">
        <v>2</v>
      </c>
      <c r="F115" s="144" t="s">
        <v>1433</v>
      </c>
      <c r="H115" s="145">
        <f>((0.3*0.1)*3.44)*3</f>
        <v>0.30959999999999999</v>
      </c>
    </row>
    <row r="116" spans="2:16" s="12" customFormat="1">
      <c r="B116" s="146"/>
      <c r="D116" s="142" t="s">
        <v>95</v>
      </c>
      <c r="E116" s="147" t="s">
        <v>2</v>
      </c>
      <c r="F116" s="148" t="s">
        <v>96</v>
      </c>
      <c r="H116" s="149">
        <f>SUM(H108:H115)</f>
        <v>3.4844400000000006</v>
      </c>
    </row>
    <row r="117" spans="2:16" s="1" customFormat="1" ht="31.5" customHeight="1">
      <c r="B117" s="39"/>
      <c r="C117" s="135">
        <f>C107+1</f>
        <v>2</v>
      </c>
      <c r="D117" s="135" t="s">
        <v>65</v>
      </c>
      <c r="E117" s="136" t="s">
        <v>1429</v>
      </c>
      <c r="F117" s="137" t="s">
        <v>1434</v>
      </c>
      <c r="G117" s="138" t="s">
        <v>94</v>
      </c>
      <c r="H117" s="139">
        <f>H121</f>
        <v>1.5928</v>
      </c>
      <c r="I117" s="90"/>
      <c r="J117" s="140">
        <f>ROUND(I117*H117,2)</f>
        <v>0</v>
      </c>
      <c r="K117" s="137"/>
      <c r="P117" s="346">
        <f>H117*1.685</f>
        <v>2.6838679999999999</v>
      </c>
    </row>
    <row r="118" spans="2:16" s="11" customFormat="1" ht="27">
      <c r="B118" s="141"/>
      <c r="D118" s="142" t="s">
        <v>95</v>
      </c>
      <c r="E118" s="143" t="s">
        <v>2</v>
      </c>
      <c r="F118" s="144" t="s">
        <v>1435</v>
      </c>
      <c r="H118" s="145">
        <f>(0.8*1.97)*0.3</f>
        <v>0.4728</v>
      </c>
    </row>
    <row r="119" spans="2:16" s="13" customFormat="1" ht="27">
      <c r="B119" s="244"/>
      <c r="D119" s="142" t="s">
        <v>95</v>
      </c>
      <c r="E119" s="245" t="s">
        <v>2</v>
      </c>
      <c r="F119" s="144" t="s">
        <v>2321</v>
      </c>
      <c r="H119" s="145">
        <f>(0.35*2.18)</f>
        <v>0.76300000000000001</v>
      </c>
    </row>
    <row r="120" spans="2:16" s="11" customFormat="1" ht="27">
      <c r="B120" s="141"/>
      <c r="D120" s="142" t="s">
        <v>95</v>
      </c>
      <c r="E120" s="143" t="s">
        <v>2</v>
      </c>
      <c r="F120" s="144" t="s">
        <v>2347</v>
      </c>
      <c r="H120" s="145">
        <f>(1.175*0.8)*0.2+(0.1*1.4)*0.2+(1.175*0.6)*0.2</f>
        <v>0.35699999999999998</v>
      </c>
    </row>
    <row r="121" spans="2:16" s="12" customFormat="1">
      <c r="B121" s="146"/>
      <c r="D121" s="142" t="s">
        <v>95</v>
      </c>
      <c r="E121" s="147" t="s">
        <v>2</v>
      </c>
      <c r="F121" s="148" t="s">
        <v>96</v>
      </c>
      <c r="H121" s="149">
        <f>SUM(H118:H120)</f>
        <v>1.5928</v>
      </c>
    </row>
    <row r="122" spans="2:16" s="1" customFormat="1" ht="22.5" customHeight="1">
      <c r="B122" s="39"/>
      <c r="C122" s="135">
        <f>C117+1</f>
        <v>3</v>
      </c>
      <c r="D122" s="135" t="s">
        <v>65</v>
      </c>
      <c r="E122" s="136" t="s">
        <v>117</v>
      </c>
      <c r="F122" s="137" t="s">
        <v>118</v>
      </c>
      <c r="G122" s="138" t="s">
        <v>105</v>
      </c>
      <c r="H122" s="139">
        <f>H126</f>
        <v>2.7993000000000001</v>
      </c>
      <c r="I122" s="90"/>
      <c r="J122" s="140">
        <f>ROUND(I122*H122,2)</f>
        <v>0</v>
      </c>
      <c r="K122" s="137"/>
      <c r="P122" s="1">
        <f>H122*0.05</f>
        <v>0.13996500000000001</v>
      </c>
    </row>
    <row r="123" spans="2:16" s="11" customFormat="1" ht="27">
      <c r="B123" s="141"/>
      <c r="D123" s="142" t="s">
        <v>95</v>
      </c>
      <c r="E123" s="143" t="s">
        <v>2</v>
      </c>
      <c r="F123" s="144" t="s">
        <v>1437</v>
      </c>
      <c r="H123" s="145">
        <f>(1.74*0.16)*2+(1.33*0.35)</f>
        <v>1.0223</v>
      </c>
      <c r="O123" s="1"/>
    </row>
    <row r="124" spans="2:16" s="11" customFormat="1" ht="27">
      <c r="B124" s="141"/>
      <c r="D124" s="142" t="s">
        <v>95</v>
      </c>
      <c r="E124" s="143" t="s">
        <v>2</v>
      </c>
      <c r="F124" s="144" t="s">
        <v>1443</v>
      </c>
      <c r="H124" s="145">
        <f>((1.85*0.16)+(1.65*0.16)+(1.65*0.15))</f>
        <v>0.8075</v>
      </c>
    </row>
    <row r="125" spans="2:16" s="13" customFormat="1" ht="27">
      <c r="B125" s="244"/>
      <c r="D125" s="142" t="s">
        <v>95</v>
      </c>
      <c r="E125" s="245" t="s">
        <v>2</v>
      </c>
      <c r="F125" s="144" t="s">
        <v>1439</v>
      </c>
      <c r="H125" s="145">
        <f>((1.5*0.16)*2+(1.1*0.445))</f>
        <v>0.96950000000000003</v>
      </c>
    </row>
    <row r="126" spans="2:16" s="12" customFormat="1">
      <c r="B126" s="146"/>
      <c r="D126" s="142" t="s">
        <v>95</v>
      </c>
      <c r="E126" s="342" t="s">
        <v>2</v>
      </c>
      <c r="F126" s="343" t="s">
        <v>96</v>
      </c>
      <c r="H126" s="149">
        <f>SUM(H123:H125)</f>
        <v>2.7993000000000001</v>
      </c>
      <c r="O126" s="1"/>
    </row>
    <row r="127" spans="2:16" s="1" customFormat="1" ht="22.5" customHeight="1">
      <c r="B127" s="39"/>
      <c r="C127" s="135">
        <f>C122+1</f>
        <v>4</v>
      </c>
      <c r="D127" s="135" t="s">
        <v>65</v>
      </c>
      <c r="E127" s="136" t="s">
        <v>119</v>
      </c>
      <c r="F127" s="137" t="s">
        <v>120</v>
      </c>
      <c r="G127" s="138" t="s">
        <v>105</v>
      </c>
      <c r="H127" s="139">
        <f>H131</f>
        <v>2.7993000000000001</v>
      </c>
      <c r="I127" s="90"/>
      <c r="J127" s="140">
        <f>ROUND(I127*H127,2)</f>
        <v>0</v>
      </c>
      <c r="K127" s="137"/>
      <c r="P127" s="1">
        <f>H127*0.05</f>
        <v>0.13996500000000001</v>
      </c>
    </row>
    <row r="128" spans="2:16" s="11" customFormat="1" ht="27">
      <c r="B128" s="141"/>
      <c r="D128" s="142" t="s">
        <v>95</v>
      </c>
      <c r="E128" s="143" t="s">
        <v>2</v>
      </c>
      <c r="F128" s="144" t="s">
        <v>1437</v>
      </c>
      <c r="H128" s="145">
        <f>(1.74*0.16)*2+(1.33*0.35)</f>
        <v>1.0223</v>
      </c>
      <c r="O128" s="1"/>
    </row>
    <row r="129" spans="2:16" s="11" customFormat="1" ht="27">
      <c r="B129" s="141"/>
      <c r="D129" s="142" t="s">
        <v>95</v>
      </c>
      <c r="E129" s="143" t="s">
        <v>2</v>
      </c>
      <c r="F129" s="144" t="s">
        <v>1443</v>
      </c>
      <c r="H129" s="145">
        <f>((1.85*0.16)+(1.65*0.16)+(1.65*0.15))</f>
        <v>0.8075</v>
      </c>
    </row>
    <row r="130" spans="2:16" s="13" customFormat="1" ht="27">
      <c r="B130" s="244"/>
      <c r="D130" s="142" t="s">
        <v>95</v>
      </c>
      <c r="E130" s="245" t="s">
        <v>2</v>
      </c>
      <c r="F130" s="144" t="s">
        <v>1439</v>
      </c>
      <c r="H130" s="145">
        <f>((1.5*0.16)*2+(1.1*0.445))</f>
        <v>0.96950000000000003</v>
      </c>
    </row>
    <row r="131" spans="2:16" s="12" customFormat="1">
      <c r="B131" s="146"/>
      <c r="D131" s="142" t="s">
        <v>95</v>
      </c>
      <c r="E131" s="342" t="s">
        <v>2</v>
      </c>
      <c r="F131" s="343" t="s">
        <v>96</v>
      </c>
      <c r="H131" s="149">
        <f>SUM(H128:H130)</f>
        <v>2.7993000000000001</v>
      </c>
      <c r="O131" s="1"/>
    </row>
    <row r="132" spans="2:16" s="1" customFormat="1" ht="22.5" customHeight="1">
      <c r="B132" s="39"/>
      <c r="C132" s="135">
        <f>C127+1</f>
        <v>5</v>
      </c>
      <c r="D132" s="135" t="s">
        <v>65</v>
      </c>
      <c r="E132" s="136" t="s">
        <v>124</v>
      </c>
      <c r="F132" s="137" t="s">
        <v>990</v>
      </c>
      <c r="G132" s="138" t="s">
        <v>105</v>
      </c>
      <c r="H132" s="139">
        <f>H136</f>
        <v>2.7993000000000001</v>
      </c>
      <c r="I132" s="90"/>
      <c r="J132" s="140">
        <f>ROUND(I132*H132,2)</f>
        <v>0</v>
      </c>
      <c r="K132" s="137"/>
      <c r="P132" s="1">
        <f>H132*0.065*1.69</f>
        <v>0.307503105</v>
      </c>
    </row>
    <row r="133" spans="2:16" s="11" customFormat="1">
      <c r="B133" s="141"/>
      <c r="D133" s="142" t="s">
        <v>95</v>
      </c>
      <c r="E133" s="143" t="s">
        <v>2</v>
      </c>
      <c r="F133" s="144" t="s">
        <v>1438</v>
      </c>
      <c r="H133" s="145">
        <f>(1.74*0.16)*2+(1.33*0.35)</f>
        <v>1.0223</v>
      </c>
      <c r="O133" s="1"/>
    </row>
    <row r="134" spans="2:16" s="11" customFormat="1" ht="27">
      <c r="B134" s="141"/>
      <c r="D134" s="142" t="s">
        <v>95</v>
      </c>
      <c r="E134" s="143" t="s">
        <v>2</v>
      </c>
      <c r="F134" s="144" t="s">
        <v>1443</v>
      </c>
      <c r="H134" s="145">
        <f>((1.85*0.16)+(1.65*0.16)+(1.65*0.15))</f>
        <v>0.8075</v>
      </c>
    </row>
    <row r="135" spans="2:16" s="13" customFormat="1" ht="27">
      <c r="B135" s="244"/>
      <c r="D135" s="142" t="s">
        <v>95</v>
      </c>
      <c r="E135" s="245" t="s">
        <v>2</v>
      </c>
      <c r="F135" s="144" t="s">
        <v>1439</v>
      </c>
      <c r="H135" s="145">
        <f>((1.5*0.16)*2+(1.1*0.445))</f>
        <v>0.96950000000000003</v>
      </c>
    </row>
    <row r="136" spans="2:16" s="12" customFormat="1">
      <c r="B136" s="146"/>
      <c r="D136" s="142" t="s">
        <v>95</v>
      </c>
      <c r="E136" s="342" t="s">
        <v>2</v>
      </c>
      <c r="F136" s="343" t="s">
        <v>96</v>
      </c>
      <c r="H136" s="149">
        <f>SUM(H133:H135)</f>
        <v>2.7993000000000001</v>
      </c>
      <c r="O136" s="1"/>
    </row>
    <row r="137" spans="2:16" s="1" customFormat="1" ht="22.5" customHeight="1">
      <c r="B137" s="39"/>
      <c r="C137" s="135">
        <f>C132+1</f>
        <v>6</v>
      </c>
      <c r="D137" s="135" t="s">
        <v>65</v>
      </c>
      <c r="E137" s="136" t="s">
        <v>125</v>
      </c>
      <c r="F137" s="137" t="s">
        <v>991</v>
      </c>
      <c r="G137" s="138" t="s">
        <v>105</v>
      </c>
      <c r="H137" s="139">
        <f>H141</f>
        <v>2.7993000000000001</v>
      </c>
      <c r="I137" s="90"/>
      <c r="J137" s="140">
        <f>ROUND(I137*H137,2)</f>
        <v>0</v>
      </c>
      <c r="K137" s="137"/>
      <c r="P137" s="1">
        <f>H137*0.065*0.169</f>
        <v>3.0750310500000006E-2</v>
      </c>
    </row>
    <row r="138" spans="2:16" s="11" customFormat="1">
      <c r="B138" s="141"/>
      <c r="D138" s="142" t="s">
        <v>95</v>
      </c>
      <c r="E138" s="143" t="s">
        <v>2</v>
      </c>
      <c r="F138" s="144" t="s">
        <v>1438</v>
      </c>
      <c r="H138" s="145">
        <f>(1.74*0.16)*2+(1.33*0.35)</f>
        <v>1.0223</v>
      </c>
      <c r="O138" s="1"/>
    </row>
    <row r="139" spans="2:16" s="11" customFormat="1" ht="27">
      <c r="B139" s="141"/>
      <c r="D139" s="142" t="s">
        <v>95</v>
      </c>
      <c r="E139" s="143" t="s">
        <v>2</v>
      </c>
      <c r="F139" s="144" t="s">
        <v>1443</v>
      </c>
      <c r="H139" s="145">
        <f>((1.85*0.16)+(1.65*0.16)+(1.65*0.15))</f>
        <v>0.8075</v>
      </c>
    </row>
    <row r="140" spans="2:16" s="13" customFormat="1" ht="27">
      <c r="B140" s="244"/>
      <c r="D140" s="142" t="s">
        <v>95</v>
      </c>
      <c r="E140" s="245" t="s">
        <v>2</v>
      </c>
      <c r="F140" s="144" t="s">
        <v>1439</v>
      </c>
      <c r="H140" s="145">
        <f>((1.5*0.16)*2+(1.1*0.445))</f>
        <v>0.96950000000000003</v>
      </c>
    </row>
    <row r="141" spans="2:16" s="12" customFormat="1">
      <c r="B141" s="146"/>
      <c r="D141" s="142" t="s">
        <v>95</v>
      </c>
      <c r="E141" s="342" t="s">
        <v>2</v>
      </c>
      <c r="F141" s="343" t="s">
        <v>96</v>
      </c>
      <c r="H141" s="149">
        <f>SUM(H138:H140)</f>
        <v>2.7993000000000001</v>
      </c>
      <c r="O141" s="1"/>
    </row>
    <row r="142" spans="2:16" s="10" customFormat="1" ht="29.85" customHeight="1">
      <c r="B142" s="128"/>
      <c r="D142" s="129" t="s">
        <v>39</v>
      </c>
      <c r="E142" s="133" t="s">
        <v>67</v>
      </c>
      <c r="F142" s="133" t="s">
        <v>126</v>
      </c>
      <c r="J142" s="134">
        <f>SUM(J143:J196)</f>
        <v>0</v>
      </c>
    </row>
    <row r="143" spans="2:16" s="1" customFormat="1" ht="22.5" customHeight="1">
      <c r="B143" s="39"/>
      <c r="C143" s="135">
        <f>C137+1</f>
        <v>7</v>
      </c>
      <c r="D143" s="135" t="s">
        <v>65</v>
      </c>
      <c r="E143" s="136" t="s">
        <v>127</v>
      </c>
      <c r="F143" s="137" t="s">
        <v>128</v>
      </c>
      <c r="G143" s="138" t="s">
        <v>105</v>
      </c>
      <c r="H143" s="139">
        <f>H147</f>
        <v>1.2025000000000001</v>
      </c>
      <c r="I143" s="90"/>
      <c r="J143" s="140">
        <f>ROUND(I143*H143,2)</f>
        <v>0</v>
      </c>
      <c r="K143" s="137"/>
      <c r="P143" s="1">
        <f>H143*0.05</f>
        <v>6.0125000000000012E-2</v>
      </c>
    </row>
    <row r="144" spans="2:16" s="11" customFormat="1">
      <c r="B144" s="141"/>
      <c r="D144" s="142" t="s">
        <v>95</v>
      </c>
      <c r="E144" s="143" t="s">
        <v>2</v>
      </c>
      <c r="F144" s="144" t="s">
        <v>1440</v>
      </c>
      <c r="H144" s="145">
        <f>(1.33*0.35)</f>
        <v>0.46549999999999997</v>
      </c>
      <c r="O144" s="1"/>
    </row>
    <row r="145" spans="2:16" s="11" customFormat="1">
      <c r="B145" s="141"/>
      <c r="D145" s="142" t="s">
        <v>95</v>
      </c>
      <c r="E145" s="143" t="s">
        <v>2</v>
      </c>
      <c r="F145" s="144" t="s">
        <v>1441</v>
      </c>
      <c r="H145" s="145">
        <f>(1.65*0.15)</f>
        <v>0.24749999999999997</v>
      </c>
    </row>
    <row r="146" spans="2:16" s="13" customFormat="1">
      <c r="B146" s="244"/>
      <c r="D146" s="142" t="s">
        <v>95</v>
      </c>
      <c r="E146" s="245" t="s">
        <v>2</v>
      </c>
      <c r="F146" s="144" t="s">
        <v>1442</v>
      </c>
      <c r="H146" s="145">
        <f>(1.1*0.445)</f>
        <v>0.48950000000000005</v>
      </c>
    </row>
    <row r="147" spans="2:16" s="12" customFormat="1">
      <c r="B147" s="146"/>
      <c r="D147" s="142" t="s">
        <v>95</v>
      </c>
      <c r="E147" s="342" t="s">
        <v>2</v>
      </c>
      <c r="F147" s="343" t="s">
        <v>96</v>
      </c>
      <c r="H147" s="149">
        <f>SUM(H144:H146)</f>
        <v>1.2025000000000001</v>
      </c>
      <c r="O147" s="1"/>
    </row>
    <row r="148" spans="2:16" s="1" customFormat="1" ht="22.5" customHeight="1">
      <c r="B148" s="39"/>
      <c r="C148" s="135">
        <f>C143+1</f>
        <v>8</v>
      </c>
      <c r="D148" s="135" t="s">
        <v>65</v>
      </c>
      <c r="E148" s="136" t="s">
        <v>129</v>
      </c>
      <c r="F148" s="137" t="s">
        <v>130</v>
      </c>
      <c r="G148" s="138" t="s">
        <v>105</v>
      </c>
      <c r="H148" s="139">
        <f>H152</f>
        <v>1.2025000000000001</v>
      </c>
      <c r="I148" s="90"/>
      <c r="J148" s="140">
        <f>ROUND(I148*H148,2)</f>
        <v>0</v>
      </c>
      <c r="K148" s="137"/>
      <c r="P148" s="1">
        <f>H148*0.05</f>
        <v>6.0125000000000012E-2</v>
      </c>
    </row>
    <row r="149" spans="2:16" s="11" customFormat="1">
      <c r="B149" s="141"/>
      <c r="D149" s="142" t="s">
        <v>95</v>
      </c>
      <c r="E149" s="143" t="s">
        <v>2</v>
      </c>
      <c r="F149" s="144" t="s">
        <v>1440</v>
      </c>
      <c r="H149" s="145">
        <f>(1.33*0.35)</f>
        <v>0.46549999999999997</v>
      </c>
      <c r="O149" s="1"/>
    </row>
    <row r="150" spans="2:16" s="11" customFormat="1">
      <c r="B150" s="141"/>
      <c r="D150" s="142" t="s">
        <v>95</v>
      </c>
      <c r="E150" s="143" t="s">
        <v>2</v>
      </c>
      <c r="F150" s="144" t="s">
        <v>1441</v>
      </c>
      <c r="H150" s="145">
        <f>(1.65*0.15)</f>
        <v>0.24749999999999997</v>
      </c>
    </row>
    <row r="151" spans="2:16" s="13" customFormat="1">
      <c r="B151" s="244"/>
      <c r="D151" s="142" t="s">
        <v>95</v>
      </c>
      <c r="E151" s="245" t="s">
        <v>2</v>
      </c>
      <c r="F151" s="144" t="s">
        <v>1442</v>
      </c>
      <c r="H151" s="145">
        <f>(1.1*0.445)</f>
        <v>0.48950000000000005</v>
      </c>
    </row>
    <row r="152" spans="2:16" s="12" customFormat="1">
      <c r="B152" s="146"/>
      <c r="D152" s="142" t="s">
        <v>95</v>
      </c>
      <c r="E152" s="342" t="s">
        <v>2</v>
      </c>
      <c r="F152" s="343" t="s">
        <v>96</v>
      </c>
      <c r="H152" s="149">
        <f>SUM(H149:H151)</f>
        <v>1.2025000000000001</v>
      </c>
      <c r="O152" s="1"/>
    </row>
    <row r="153" spans="2:16" s="1" customFormat="1" ht="22.5" customHeight="1">
      <c r="B153" s="39"/>
      <c r="C153" s="135">
        <f>C148+1</f>
        <v>9</v>
      </c>
      <c r="D153" s="135" t="s">
        <v>65</v>
      </c>
      <c r="E153" s="136" t="s">
        <v>131</v>
      </c>
      <c r="F153" s="137" t="s">
        <v>132</v>
      </c>
      <c r="G153" s="138" t="s">
        <v>105</v>
      </c>
      <c r="H153" s="139">
        <f>H157</f>
        <v>1.2025000000000001</v>
      </c>
      <c r="I153" s="90"/>
      <c r="J153" s="140">
        <f>ROUND(I153*H153,2)</f>
        <v>0</v>
      </c>
      <c r="K153" s="137"/>
      <c r="P153" s="1">
        <f>H153*0.03</f>
        <v>3.6075000000000003E-2</v>
      </c>
    </row>
    <row r="154" spans="2:16" s="11" customFormat="1">
      <c r="B154" s="141"/>
      <c r="D154" s="142" t="s">
        <v>95</v>
      </c>
      <c r="E154" s="143" t="s">
        <v>2</v>
      </c>
      <c r="F154" s="144" t="s">
        <v>1440</v>
      </c>
      <c r="H154" s="145">
        <f>(1.33*0.35)</f>
        <v>0.46549999999999997</v>
      </c>
      <c r="O154" s="1"/>
    </row>
    <row r="155" spans="2:16" s="11" customFormat="1">
      <c r="B155" s="141"/>
      <c r="D155" s="142" t="s">
        <v>95</v>
      </c>
      <c r="E155" s="143" t="s">
        <v>2</v>
      </c>
      <c r="F155" s="144" t="s">
        <v>1441</v>
      </c>
      <c r="H155" s="145">
        <f>(1.65*0.15)</f>
        <v>0.24749999999999997</v>
      </c>
    </row>
    <row r="156" spans="2:16" s="13" customFormat="1">
      <c r="B156" s="244"/>
      <c r="D156" s="142" t="s">
        <v>95</v>
      </c>
      <c r="E156" s="245" t="s">
        <v>2</v>
      </c>
      <c r="F156" s="144" t="s">
        <v>1442</v>
      </c>
      <c r="H156" s="145">
        <f>(1.1*0.445)</f>
        <v>0.48950000000000005</v>
      </c>
    </row>
    <row r="157" spans="2:16" s="12" customFormat="1">
      <c r="B157" s="146"/>
      <c r="D157" s="142" t="s">
        <v>95</v>
      </c>
      <c r="E157" s="342" t="s">
        <v>2</v>
      </c>
      <c r="F157" s="343" t="s">
        <v>96</v>
      </c>
      <c r="H157" s="149">
        <f>SUM(H154:H156)</f>
        <v>1.2025000000000001</v>
      </c>
      <c r="O157" s="1"/>
    </row>
    <row r="158" spans="2:16" s="1" customFormat="1" ht="22.5" customHeight="1">
      <c r="B158" s="39"/>
      <c r="C158" s="135">
        <f>C153+1</f>
        <v>10</v>
      </c>
      <c r="D158" s="135" t="s">
        <v>65</v>
      </c>
      <c r="E158" s="136" t="s">
        <v>133</v>
      </c>
      <c r="F158" s="137" t="s">
        <v>134</v>
      </c>
      <c r="G158" s="138" t="s">
        <v>105</v>
      </c>
      <c r="H158" s="139">
        <f>H162</f>
        <v>1.2025000000000001</v>
      </c>
      <c r="I158" s="90"/>
      <c r="J158" s="140">
        <f>ROUND(I158*H158,2)</f>
        <v>0</v>
      </c>
      <c r="K158" s="137"/>
      <c r="P158" s="1">
        <f>H158*0.03</f>
        <v>3.6075000000000003E-2</v>
      </c>
    </row>
    <row r="159" spans="2:16" s="11" customFormat="1">
      <c r="B159" s="141"/>
      <c r="D159" s="142" t="s">
        <v>95</v>
      </c>
      <c r="E159" s="143" t="s">
        <v>2</v>
      </c>
      <c r="F159" s="144" t="s">
        <v>1440</v>
      </c>
      <c r="H159" s="145">
        <f>(1.33*0.35)</f>
        <v>0.46549999999999997</v>
      </c>
      <c r="O159" s="1"/>
    </row>
    <row r="160" spans="2:16" s="11" customFormat="1">
      <c r="B160" s="141"/>
      <c r="D160" s="142" t="s">
        <v>95</v>
      </c>
      <c r="E160" s="143" t="s">
        <v>2</v>
      </c>
      <c r="F160" s="144" t="s">
        <v>1441</v>
      </c>
      <c r="H160" s="145">
        <f>(1.65*0.15)</f>
        <v>0.24749999999999997</v>
      </c>
    </row>
    <row r="161" spans="2:16" s="13" customFormat="1">
      <c r="B161" s="244"/>
      <c r="D161" s="142" t="s">
        <v>95</v>
      </c>
      <c r="E161" s="245" t="s">
        <v>2</v>
      </c>
      <c r="F161" s="144" t="s">
        <v>1442</v>
      </c>
      <c r="H161" s="145">
        <f>(1.1*0.445)</f>
        <v>0.48950000000000005</v>
      </c>
    </row>
    <row r="162" spans="2:16" s="12" customFormat="1">
      <c r="B162" s="146"/>
      <c r="D162" s="142" t="s">
        <v>95</v>
      </c>
      <c r="E162" s="342" t="s">
        <v>2</v>
      </c>
      <c r="F162" s="343" t="s">
        <v>96</v>
      </c>
      <c r="H162" s="149">
        <f>SUM(H159:H161)</f>
        <v>1.2025000000000001</v>
      </c>
      <c r="O162" s="1"/>
    </row>
    <row r="163" spans="2:16" s="1" customFormat="1" ht="31.5" customHeight="1">
      <c r="B163" s="39"/>
      <c r="C163" s="135">
        <f>C158+1</f>
        <v>11</v>
      </c>
      <c r="D163" s="135" t="s">
        <v>65</v>
      </c>
      <c r="E163" s="136" t="s">
        <v>135</v>
      </c>
      <c r="F163" s="137" t="s">
        <v>992</v>
      </c>
      <c r="G163" s="138" t="s">
        <v>105</v>
      </c>
      <c r="H163" s="139">
        <f>H167</f>
        <v>1.2025000000000001</v>
      </c>
      <c r="I163" s="90"/>
      <c r="J163" s="140">
        <f>ROUND(I163*H163,2)</f>
        <v>0</v>
      </c>
      <c r="K163" s="137"/>
      <c r="P163" s="1">
        <f>H163*0.025</f>
        <v>3.0062500000000006E-2</v>
      </c>
    </row>
    <row r="164" spans="2:16" s="11" customFormat="1">
      <c r="B164" s="141"/>
      <c r="D164" s="142" t="s">
        <v>95</v>
      </c>
      <c r="E164" s="143" t="s">
        <v>2</v>
      </c>
      <c r="F164" s="144" t="s">
        <v>1440</v>
      </c>
      <c r="H164" s="145">
        <f>(1.33*0.35)</f>
        <v>0.46549999999999997</v>
      </c>
      <c r="O164" s="1"/>
    </row>
    <row r="165" spans="2:16" s="11" customFormat="1">
      <c r="B165" s="141"/>
      <c r="D165" s="142" t="s">
        <v>95</v>
      </c>
      <c r="E165" s="143" t="s">
        <v>2</v>
      </c>
      <c r="F165" s="144" t="s">
        <v>1441</v>
      </c>
      <c r="H165" s="145">
        <f>(1.65*0.15)</f>
        <v>0.24749999999999997</v>
      </c>
    </row>
    <row r="166" spans="2:16" s="13" customFormat="1">
      <c r="B166" s="244"/>
      <c r="D166" s="142" t="s">
        <v>95</v>
      </c>
      <c r="E166" s="245" t="s">
        <v>2</v>
      </c>
      <c r="F166" s="144" t="s">
        <v>1442</v>
      </c>
      <c r="H166" s="145">
        <f>(1.1*0.445)</f>
        <v>0.48950000000000005</v>
      </c>
    </row>
    <row r="167" spans="2:16" s="12" customFormat="1">
      <c r="B167" s="146"/>
      <c r="D167" s="142" t="s">
        <v>95</v>
      </c>
      <c r="E167" s="342" t="s">
        <v>2</v>
      </c>
      <c r="F167" s="343" t="s">
        <v>96</v>
      </c>
      <c r="H167" s="149">
        <f>SUM(H164:H166)</f>
        <v>1.2025000000000001</v>
      </c>
      <c r="O167" s="1"/>
    </row>
    <row r="168" spans="2:16" s="1" customFormat="1" ht="31.5" customHeight="1">
      <c r="B168" s="39"/>
      <c r="C168" s="135">
        <f>C163+1</f>
        <v>12</v>
      </c>
      <c r="D168" s="135" t="s">
        <v>65</v>
      </c>
      <c r="E168" s="136" t="s">
        <v>136</v>
      </c>
      <c r="F168" s="137" t="s">
        <v>993</v>
      </c>
      <c r="G168" s="138" t="s">
        <v>105</v>
      </c>
      <c r="H168" s="139">
        <f>H172</f>
        <v>1.2025000000000001</v>
      </c>
      <c r="I168" s="90"/>
      <c r="J168" s="140">
        <f>ROUND(I168*H168,2)</f>
        <v>0</v>
      </c>
      <c r="K168" s="137"/>
      <c r="P168" s="1">
        <f>H168*0.025</f>
        <v>3.0062500000000006E-2</v>
      </c>
    </row>
    <row r="169" spans="2:16" s="11" customFormat="1">
      <c r="B169" s="141"/>
      <c r="D169" s="142" t="s">
        <v>95</v>
      </c>
      <c r="E169" s="143" t="s">
        <v>2</v>
      </c>
      <c r="F169" s="144" t="s">
        <v>1440</v>
      </c>
      <c r="H169" s="145">
        <f>(1.33*0.35)</f>
        <v>0.46549999999999997</v>
      </c>
      <c r="O169" s="1"/>
    </row>
    <row r="170" spans="2:16" s="11" customFormat="1">
      <c r="B170" s="141"/>
      <c r="D170" s="142" t="s">
        <v>95</v>
      </c>
      <c r="E170" s="143" t="s">
        <v>2</v>
      </c>
      <c r="F170" s="144" t="s">
        <v>1441</v>
      </c>
      <c r="H170" s="145">
        <f>(1.65*0.15)</f>
        <v>0.24749999999999997</v>
      </c>
    </row>
    <row r="171" spans="2:16" s="13" customFormat="1">
      <c r="B171" s="244"/>
      <c r="D171" s="142" t="s">
        <v>95</v>
      </c>
      <c r="E171" s="245" t="s">
        <v>2</v>
      </c>
      <c r="F171" s="144" t="s">
        <v>1442</v>
      </c>
      <c r="H171" s="145">
        <f>(1.1*0.445)</f>
        <v>0.48950000000000005</v>
      </c>
    </row>
    <row r="172" spans="2:16" s="12" customFormat="1">
      <c r="B172" s="146"/>
      <c r="D172" s="142" t="s">
        <v>95</v>
      </c>
      <c r="E172" s="342" t="s">
        <v>2</v>
      </c>
      <c r="F172" s="343" t="s">
        <v>96</v>
      </c>
      <c r="H172" s="149">
        <f>SUM(H169:H171)</f>
        <v>1.2025000000000001</v>
      </c>
      <c r="O172" s="1"/>
    </row>
    <row r="173" spans="2:16" s="12" customFormat="1" ht="28.9" customHeight="1">
      <c r="B173" s="146"/>
      <c r="C173" s="135">
        <f>C168+1</f>
        <v>13</v>
      </c>
      <c r="D173" s="304" t="s">
        <v>65</v>
      </c>
      <c r="E173" s="305" t="s">
        <v>1348</v>
      </c>
      <c r="F173" s="306" t="s">
        <v>1356</v>
      </c>
      <c r="G173" s="307" t="s">
        <v>101</v>
      </c>
      <c r="H173" s="139">
        <f>H178</f>
        <v>0.26516000000000001</v>
      </c>
      <c r="I173" s="90"/>
      <c r="J173" s="140">
        <f>ROUND(I173*H173,2)</f>
        <v>0</v>
      </c>
      <c r="K173" s="137"/>
      <c r="O173" s="1"/>
      <c r="P173" s="344">
        <f>H173</f>
        <v>0.26516000000000001</v>
      </c>
    </row>
    <row r="174" spans="2:16" s="11" customFormat="1" ht="24" customHeight="1">
      <c r="B174" s="141"/>
      <c r="D174" s="142" t="s">
        <v>95</v>
      </c>
      <c r="E174" s="143" t="s">
        <v>2</v>
      </c>
      <c r="F174" s="144" t="s">
        <v>1447</v>
      </c>
      <c r="H174" s="145">
        <f>(1.74*0.0179)*3</f>
        <v>9.3437999999999993E-2</v>
      </c>
      <c r="O174" s="1"/>
    </row>
    <row r="175" spans="2:16" s="11" customFormat="1" ht="24" customHeight="1">
      <c r="B175" s="141"/>
      <c r="D175" s="142" t="s">
        <v>95</v>
      </c>
      <c r="E175" s="143" t="s">
        <v>2</v>
      </c>
      <c r="F175" s="144" t="s">
        <v>1444</v>
      </c>
      <c r="H175" s="145">
        <f>(1.74*0.0179)*2</f>
        <v>6.2292E-2</v>
      </c>
      <c r="O175" s="1"/>
    </row>
    <row r="176" spans="2:16" s="11" customFormat="1" ht="24" customHeight="1">
      <c r="B176" s="141"/>
      <c r="D176" s="142" t="s">
        <v>95</v>
      </c>
      <c r="E176" s="143" t="s">
        <v>2</v>
      </c>
      <c r="F176" s="144" t="s">
        <v>1446</v>
      </c>
      <c r="H176" s="145">
        <f>(1.85*0.0179)*2</f>
        <v>6.6229999999999997E-2</v>
      </c>
      <c r="O176" s="1"/>
    </row>
    <row r="177" spans="2:16" s="11" customFormat="1" ht="24" customHeight="1">
      <c r="B177" s="141"/>
      <c r="D177" s="142" t="s">
        <v>95</v>
      </c>
      <c r="E177" s="143" t="s">
        <v>2</v>
      </c>
      <c r="F177" s="144" t="s">
        <v>1445</v>
      </c>
      <c r="H177" s="145">
        <f>(1.5*0.0144)*2</f>
        <v>4.3200000000000002E-2</v>
      </c>
      <c r="O177" s="1"/>
    </row>
    <row r="178" spans="2:16" s="12" customFormat="1">
      <c r="B178" s="146"/>
      <c r="D178" s="142" t="s">
        <v>95</v>
      </c>
      <c r="E178" s="147" t="s">
        <v>2</v>
      </c>
      <c r="F178" s="148" t="s">
        <v>96</v>
      </c>
      <c r="H178" s="149">
        <f>SUM(H174:H177)</f>
        <v>0.26516000000000001</v>
      </c>
      <c r="O178" s="1"/>
    </row>
    <row r="179" spans="2:16" s="12" customFormat="1" ht="28.9" customHeight="1">
      <c r="B179" s="146"/>
      <c r="C179" s="135">
        <f>C173+1</f>
        <v>14</v>
      </c>
      <c r="D179" s="304" t="s">
        <v>65</v>
      </c>
      <c r="E179" s="305" t="s">
        <v>1354</v>
      </c>
      <c r="F179" s="306" t="s">
        <v>1376</v>
      </c>
      <c r="G179" s="307" t="s">
        <v>94</v>
      </c>
      <c r="H179" s="139">
        <f>H184</f>
        <v>0.20820750000000002</v>
      </c>
      <c r="I179" s="90"/>
      <c r="J179" s="140">
        <f>ROUND(I179*H179,2)</f>
        <v>0</v>
      </c>
      <c r="K179" s="137"/>
      <c r="O179" s="1"/>
      <c r="P179" s="163">
        <f>H179*2.25</f>
        <v>0.46846687500000006</v>
      </c>
    </row>
    <row r="180" spans="2:16" s="11" customFormat="1" ht="27">
      <c r="B180" s="141"/>
      <c r="D180" s="142" t="s">
        <v>95</v>
      </c>
      <c r="E180" s="143" t="s">
        <v>2</v>
      </c>
      <c r="F180" s="144" t="s">
        <v>1449</v>
      </c>
      <c r="H180" s="145">
        <f>(1.74*0.16*0.15)*0.75</f>
        <v>3.1320000000000001E-2</v>
      </c>
      <c r="O180" s="1"/>
    </row>
    <row r="181" spans="2:16" s="11" customFormat="1" ht="27">
      <c r="B181" s="141"/>
      <c r="D181" s="142" t="s">
        <v>95</v>
      </c>
      <c r="E181" s="143" t="s">
        <v>2</v>
      </c>
      <c r="F181" s="144" t="s">
        <v>1448</v>
      </c>
      <c r="H181" s="145">
        <f>(1.74*0.16*0.15)*0.75</f>
        <v>3.1320000000000001E-2</v>
      </c>
      <c r="O181" s="1"/>
    </row>
    <row r="182" spans="2:16" s="11" customFormat="1" ht="27">
      <c r="B182" s="141"/>
      <c r="D182" s="142" t="s">
        <v>95</v>
      </c>
      <c r="E182" s="143" t="s">
        <v>2</v>
      </c>
      <c r="F182" s="144" t="s">
        <v>1450</v>
      </c>
      <c r="H182" s="145">
        <f>(1.85*0.16*0.34)*0.75</f>
        <v>7.5480000000000019E-2</v>
      </c>
      <c r="O182" s="1"/>
    </row>
    <row r="183" spans="2:16" s="11" customFormat="1" ht="27">
      <c r="B183" s="141"/>
      <c r="D183" s="142" t="s">
        <v>95</v>
      </c>
      <c r="E183" s="143" t="s">
        <v>2</v>
      </c>
      <c r="F183" s="144" t="s">
        <v>1451</v>
      </c>
      <c r="H183" s="145">
        <f>(1.5*0.14*0.445)*0.75</f>
        <v>7.0087499999999997E-2</v>
      </c>
      <c r="O183" s="1"/>
    </row>
    <row r="184" spans="2:16" s="12" customFormat="1">
      <c r="B184" s="146"/>
      <c r="D184" s="142" t="s">
        <v>95</v>
      </c>
      <c r="E184" s="147" t="s">
        <v>2</v>
      </c>
      <c r="F184" s="148" t="s">
        <v>96</v>
      </c>
      <c r="H184" s="149">
        <f>SUM(H180:H183)</f>
        <v>0.20820750000000002</v>
      </c>
      <c r="O184" s="1"/>
    </row>
    <row r="185" spans="2:16" s="12" customFormat="1" ht="28.9" customHeight="1">
      <c r="B185" s="146"/>
      <c r="C185" s="135">
        <f>C179+1</f>
        <v>15</v>
      </c>
      <c r="D185" s="304" t="s">
        <v>65</v>
      </c>
      <c r="E185" s="305" t="s">
        <v>1367</v>
      </c>
      <c r="F185" s="306" t="s">
        <v>1368</v>
      </c>
      <c r="G185" s="307" t="s">
        <v>105</v>
      </c>
      <c r="H185" s="139">
        <f>H190</f>
        <v>2.1255999999999999</v>
      </c>
      <c r="I185" s="90"/>
      <c r="J185" s="140">
        <f>ROUND(I185*H185,2)</f>
        <v>0</v>
      </c>
      <c r="K185" s="137"/>
      <c r="O185" s="1"/>
      <c r="P185" s="163">
        <f>H185*0.06*2.25</f>
        <v>0.28695599999999999</v>
      </c>
    </row>
    <row r="186" spans="2:16" s="11" customFormat="1" ht="27">
      <c r="B186" s="141"/>
      <c r="D186" s="142" t="s">
        <v>95</v>
      </c>
      <c r="E186" s="143" t="s">
        <v>2</v>
      </c>
      <c r="F186" s="144" t="s">
        <v>1452</v>
      </c>
      <c r="H186" s="145">
        <f>(1.74*0.16)*2</f>
        <v>0.55679999999999996</v>
      </c>
      <c r="O186" s="1"/>
    </row>
    <row r="187" spans="2:16" s="11" customFormat="1">
      <c r="B187" s="141"/>
      <c r="D187" s="142" t="s">
        <v>95</v>
      </c>
      <c r="E187" s="143" t="s">
        <v>2</v>
      </c>
      <c r="F187" s="144" t="s">
        <v>1453</v>
      </c>
      <c r="H187" s="145">
        <f>(1.74*0.16)*2</f>
        <v>0.55679999999999996</v>
      </c>
      <c r="O187" s="1"/>
    </row>
    <row r="188" spans="2:16" s="11" customFormat="1" ht="27">
      <c r="B188" s="141"/>
      <c r="D188" s="142" t="s">
        <v>95</v>
      </c>
      <c r="E188" s="143" t="s">
        <v>2</v>
      </c>
      <c r="F188" s="144" t="s">
        <v>1454</v>
      </c>
      <c r="H188" s="145">
        <f>(1.85*0.16)*2</f>
        <v>0.59200000000000008</v>
      </c>
      <c r="O188" s="1"/>
    </row>
    <row r="189" spans="2:16" s="11" customFormat="1" ht="27">
      <c r="B189" s="141"/>
      <c r="D189" s="142" t="s">
        <v>95</v>
      </c>
      <c r="E189" s="143" t="s">
        <v>2</v>
      </c>
      <c r="F189" s="144" t="s">
        <v>1455</v>
      </c>
      <c r="H189" s="145">
        <f>(1.5*0.14)*2</f>
        <v>0.42000000000000004</v>
      </c>
      <c r="O189" s="1"/>
    </row>
    <row r="190" spans="2:16" s="12" customFormat="1">
      <c r="B190" s="146"/>
      <c r="D190" s="142" t="s">
        <v>95</v>
      </c>
      <c r="E190" s="147" t="s">
        <v>2</v>
      </c>
      <c r="F190" s="148" t="s">
        <v>96</v>
      </c>
      <c r="H190" s="149">
        <f>SUM(H186:H189)</f>
        <v>2.1255999999999999</v>
      </c>
      <c r="O190" s="1"/>
    </row>
    <row r="191" spans="2:16" s="12" customFormat="1" ht="28.9" customHeight="1">
      <c r="B191" s="146"/>
      <c r="C191" s="135">
        <f>C185+1</f>
        <v>16</v>
      </c>
      <c r="D191" s="304" t="s">
        <v>65</v>
      </c>
      <c r="E191" s="305" t="s">
        <v>1424</v>
      </c>
      <c r="F191" s="306" t="s">
        <v>1425</v>
      </c>
      <c r="G191" s="307" t="s">
        <v>105</v>
      </c>
      <c r="H191" s="139">
        <f>H196</f>
        <v>2.1255999999999999</v>
      </c>
      <c r="I191" s="90"/>
      <c r="J191" s="140">
        <f>ROUND(I191*H191,2)</f>
        <v>0</v>
      </c>
      <c r="K191" s="137"/>
      <c r="O191" s="1"/>
      <c r="P191" s="163">
        <f>H191*0.03*2.25</f>
        <v>0.14347799999999999</v>
      </c>
    </row>
    <row r="192" spans="2:16" s="11" customFormat="1" ht="27">
      <c r="B192" s="141"/>
      <c r="D192" s="142" t="s">
        <v>95</v>
      </c>
      <c r="E192" s="143" t="s">
        <v>2</v>
      </c>
      <c r="F192" s="144" t="s">
        <v>1452</v>
      </c>
      <c r="H192" s="145">
        <f>(1.74*0.16)*2</f>
        <v>0.55679999999999996</v>
      </c>
      <c r="O192" s="1"/>
    </row>
    <row r="193" spans="2:16" s="11" customFormat="1">
      <c r="B193" s="141"/>
      <c r="D193" s="142" t="s">
        <v>95</v>
      </c>
      <c r="E193" s="143" t="s">
        <v>2</v>
      </c>
      <c r="F193" s="144" t="s">
        <v>1453</v>
      </c>
      <c r="H193" s="145">
        <f>(1.74*0.16)*2</f>
        <v>0.55679999999999996</v>
      </c>
      <c r="O193" s="1"/>
    </row>
    <row r="194" spans="2:16" s="11" customFormat="1" ht="27">
      <c r="B194" s="141"/>
      <c r="D194" s="142" t="s">
        <v>95</v>
      </c>
      <c r="E194" s="143" t="s">
        <v>2</v>
      </c>
      <c r="F194" s="144" t="s">
        <v>1454</v>
      </c>
      <c r="H194" s="145">
        <f>(1.85*0.16)*2</f>
        <v>0.59200000000000008</v>
      </c>
      <c r="O194" s="1"/>
    </row>
    <row r="195" spans="2:16" s="11" customFormat="1" ht="27">
      <c r="B195" s="141"/>
      <c r="D195" s="142" t="s">
        <v>95</v>
      </c>
      <c r="E195" s="143" t="s">
        <v>2</v>
      </c>
      <c r="F195" s="144" t="s">
        <v>1455</v>
      </c>
      <c r="H195" s="145">
        <f>(1.5*0.14)*2</f>
        <v>0.42000000000000004</v>
      </c>
      <c r="O195" s="1"/>
    </row>
    <row r="196" spans="2:16" s="12" customFormat="1">
      <c r="B196" s="146"/>
      <c r="D196" s="142" t="s">
        <v>95</v>
      </c>
      <c r="E196" s="147" t="s">
        <v>2</v>
      </c>
      <c r="F196" s="148" t="s">
        <v>96</v>
      </c>
      <c r="H196" s="149">
        <f>SUM(H192:H195)</f>
        <v>2.1255999999999999</v>
      </c>
      <c r="O196" s="1"/>
    </row>
    <row r="197" spans="2:16" s="10" customFormat="1" ht="29.85" customHeight="1">
      <c r="B197" s="128"/>
      <c r="D197" s="129" t="s">
        <v>39</v>
      </c>
      <c r="E197" s="133" t="s">
        <v>100</v>
      </c>
      <c r="F197" s="133" t="s">
        <v>143</v>
      </c>
      <c r="J197" s="134">
        <f>SUM(J198:J414)</f>
        <v>0</v>
      </c>
    </row>
    <row r="198" spans="2:16" s="1" customFormat="1" ht="22.5" customHeight="1">
      <c r="B198" s="39"/>
      <c r="C198" s="135">
        <f>C191+1</f>
        <v>17</v>
      </c>
      <c r="D198" s="135" t="s">
        <v>65</v>
      </c>
      <c r="E198" s="136" t="s">
        <v>144</v>
      </c>
      <c r="F198" s="137" t="s">
        <v>145</v>
      </c>
      <c r="G198" s="138" t="s">
        <v>105</v>
      </c>
      <c r="H198" s="139">
        <f>H209</f>
        <v>376.94457999999997</v>
      </c>
      <c r="I198" s="90"/>
      <c r="J198" s="140">
        <f>ROUND(I198*H198,2)</f>
        <v>0</v>
      </c>
      <c r="K198" s="137"/>
      <c r="P198" s="1">
        <f>H198*0.005*1.85</f>
        <v>3.4867373649999998</v>
      </c>
    </row>
    <row r="199" spans="2:16" s="11" customFormat="1" ht="27">
      <c r="B199" s="141"/>
      <c r="D199" s="142" t="s">
        <v>95</v>
      </c>
      <c r="E199" s="143" t="s">
        <v>2</v>
      </c>
      <c r="F199" s="144" t="s">
        <v>1457</v>
      </c>
      <c r="H199" s="145">
        <f>(0.1+0.2+1.525+0.59+0.2+1.11+0.51+0.2+3.09+1.9+0.885+0.2+0.1)*3.06</f>
        <v>32.4666</v>
      </c>
      <c r="O199" s="1"/>
    </row>
    <row r="200" spans="2:16" s="11" customFormat="1" ht="27">
      <c r="B200" s="141"/>
      <c r="D200" s="142" t="s">
        <v>95</v>
      </c>
      <c r="E200" s="143" t="s">
        <v>2</v>
      </c>
      <c r="F200" s="144" t="s">
        <v>1458</v>
      </c>
      <c r="H200" s="145">
        <f>(0.75+0.35+1.7+0.5+1.14+0.5+0.58+1.7+0.38+0.35+0.38+1.8)*3.3</f>
        <v>33.429000000000002</v>
      </c>
      <c r="O200" s="1"/>
    </row>
    <row r="201" spans="2:16" s="11" customFormat="1">
      <c r="B201" s="141"/>
      <c r="D201" s="142" t="s">
        <v>95</v>
      </c>
      <c r="E201" s="143" t="s">
        <v>2</v>
      </c>
      <c r="F201" s="144" t="s">
        <v>1459</v>
      </c>
      <c r="H201" s="145">
        <f>(0.93+0.765+0.6+0.335+0.93+0.3+0.6+0.8)*3.06</f>
        <v>16.095600000000001</v>
      </c>
      <c r="O201" s="1"/>
    </row>
    <row r="202" spans="2:16" s="11" customFormat="1" ht="40.5">
      <c r="B202" s="141"/>
      <c r="D202" s="142" t="s">
        <v>95</v>
      </c>
      <c r="E202" s="143" t="s">
        <v>2</v>
      </c>
      <c r="F202" s="144" t="s">
        <v>1462</v>
      </c>
      <c r="H202" s="145">
        <f>(0.42+0.4+0.94+0.4+2.24+0.2+1.25+2.3+0.37+0.5+0.7+0.5+0.86+0.5+1.14+0.5+0.58+0.54+0.12+0.09+0.89+0.09+0.12+0.785+1.16+0.195)*3.15</f>
        <v>56.038499999999999</v>
      </c>
      <c r="O202" s="1"/>
    </row>
    <row r="203" spans="2:16" s="11" customFormat="1">
      <c r="B203" s="141"/>
      <c r="D203" s="142" t="s">
        <v>95</v>
      </c>
      <c r="E203" s="143" t="s">
        <v>2</v>
      </c>
      <c r="F203" s="144" t="s">
        <v>1489</v>
      </c>
      <c r="H203" s="145">
        <f>(0.893+0.2+1.25+1)*3.44</f>
        <v>11.499919999999999</v>
      </c>
      <c r="O203" s="1"/>
    </row>
    <row r="204" spans="2:16" s="11" customFormat="1">
      <c r="B204" s="141"/>
      <c r="D204" s="142" t="s">
        <v>95</v>
      </c>
      <c r="E204" s="143" t="s">
        <v>2</v>
      </c>
      <c r="F204" s="144" t="s">
        <v>1493</v>
      </c>
      <c r="H204" s="145">
        <f>(1+0.147+0.1+0.9+0.1+0.147+1)*3.44</f>
        <v>11.67536</v>
      </c>
      <c r="O204" s="1"/>
    </row>
    <row r="205" spans="2:16" s="11" customFormat="1" ht="27">
      <c r="B205" s="141"/>
      <c r="D205" s="142" t="s">
        <v>95</v>
      </c>
      <c r="E205" s="143" t="s">
        <v>2</v>
      </c>
      <c r="F205" s="144" t="s">
        <v>1463</v>
      </c>
      <c r="H205" s="145">
        <f>(2.33+0.25+1.175+0.25+0.535+0.2+1.25+0.2+2.295+0.34+1.33+0.34+0.415+0.265+0.445+1.22+0.445+0.165)*3.44</f>
        <v>46.267999999999994</v>
      </c>
      <c r="O205" s="1"/>
    </row>
    <row r="206" spans="2:16" s="11" customFormat="1">
      <c r="B206" s="141"/>
      <c r="D206" s="142" t="s">
        <v>95</v>
      </c>
      <c r="E206" s="143" t="s">
        <v>2</v>
      </c>
      <c r="F206" s="144" t="s">
        <v>1464</v>
      </c>
      <c r="H206" s="145">
        <f>(1.515+1.76+0.37+0.5+0.7+0.5+0.445)*3.44</f>
        <v>19.9176</v>
      </c>
      <c r="O206" s="1"/>
    </row>
    <row r="207" spans="2:16" s="11" customFormat="1" ht="27">
      <c r="B207" s="141"/>
      <c r="D207" s="142" t="s">
        <v>95</v>
      </c>
      <c r="E207" s="143" t="s">
        <v>2</v>
      </c>
      <c r="F207" s="144" t="s">
        <v>1465</v>
      </c>
      <c r="H207" s="145">
        <f>(0.415+0.34+1.33+0.34+0.415+0.415+0.5+1.14+0.5+0.605+1.76)*3.44</f>
        <v>26.694399999999998</v>
      </c>
      <c r="O207" s="1"/>
    </row>
    <row r="208" spans="2:16" s="11" customFormat="1" ht="54">
      <c r="B208" s="141"/>
      <c r="D208" s="142" t="s">
        <v>95</v>
      </c>
      <c r="E208" s="143" t="s">
        <v>2</v>
      </c>
      <c r="F208" s="144" t="s">
        <v>1466</v>
      </c>
      <c r="H208" s="145">
        <f>((1.372+0.341+1.183+0.341+0.24+0.344+1.183+0.344+1.902)+(2.44+0.148+0.1+0.148+1.885+0.03+0.775+0.03+0.185+1.22+2.365)+(0.626+0.291+1.147+0.291+4.106)+(0.882+0.341+1.156+0.341+1.224+0.341+1.156+0.341+1.224+0.341+1.156+0.341+1.224+0.341+1.156+0.341+0.772))*3.44</f>
        <v>122.85959999999999</v>
      </c>
      <c r="O208" s="1"/>
    </row>
    <row r="209" spans="2:16" s="12" customFormat="1">
      <c r="B209" s="146"/>
      <c r="D209" s="142" t="s">
        <v>95</v>
      </c>
      <c r="E209" s="342" t="s">
        <v>2</v>
      </c>
      <c r="F209" s="343" t="s">
        <v>96</v>
      </c>
      <c r="H209" s="149">
        <f>SUM(H199:H208)</f>
        <v>376.94457999999997</v>
      </c>
      <c r="O209" s="1"/>
    </row>
    <row r="210" spans="2:16" s="1" customFormat="1" ht="22.5" customHeight="1">
      <c r="B210" s="39"/>
      <c r="C210" s="135">
        <f>C198+1</f>
        <v>18</v>
      </c>
      <c r="D210" s="135" t="s">
        <v>65</v>
      </c>
      <c r="E210" s="136" t="s">
        <v>1456</v>
      </c>
      <c r="F210" s="137" t="s">
        <v>146</v>
      </c>
      <c r="G210" s="138" t="s">
        <v>105</v>
      </c>
      <c r="H210" s="139">
        <f>H221</f>
        <v>38.297899999999991</v>
      </c>
      <c r="I210" s="90"/>
      <c r="J210" s="140">
        <f>ROUND(I210*H210,2)</f>
        <v>0</v>
      </c>
      <c r="K210" s="137"/>
      <c r="P210" s="1">
        <f>H210*0.02*1.85</f>
        <v>1.4170222999999997</v>
      </c>
    </row>
    <row r="211" spans="2:16" s="11" customFormat="1" ht="27">
      <c r="B211" s="141"/>
      <c r="D211" s="142" t="s">
        <v>95</v>
      </c>
      <c r="E211" s="143" t="s">
        <v>2</v>
      </c>
      <c r="F211" s="144" t="s">
        <v>1460</v>
      </c>
      <c r="H211" s="145">
        <f>(0.1+0.2+1.525+0.59+0.2+1.11+0.51+0.2+3.09+1.9+0.885+0.2+0.1)*0.1+(1.525+0.59+0.2)*1.4</f>
        <v>4.3019999999999996</v>
      </c>
      <c r="O211" s="1"/>
    </row>
    <row r="212" spans="2:16" s="11" customFormat="1">
      <c r="B212" s="141"/>
      <c r="D212" s="142" t="s">
        <v>95</v>
      </c>
      <c r="E212" s="143" t="s">
        <v>2</v>
      </c>
      <c r="F212" s="144" t="s">
        <v>1461</v>
      </c>
      <c r="H212" s="145">
        <f>(0.35+1.7+0.5+0.5+0.58+1.7+0.38+0.35)*0.15</f>
        <v>0.90899999999999992</v>
      </c>
      <c r="I212" s="145"/>
      <c r="O212" s="1"/>
    </row>
    <row r="213" spans="2:16" s="11" customFormat="1">
      <c r="B213" s="141"/>
      <c r="D213" s="142" t="s">
        <v>95</v>
      </c>
      <c r="E213" s="143" t="s">
        <v>2</v>
      </c>
      <c r="F213" s="144" t="s">
        <v>1459</v>
      </c>
      <c r="H213" s="145">
        <f>(0.93+0.765+0.6+0.335+0.93+0.3+0.6+0.8)*3.06</f>
        <v>16.095600000000001</v>
      </c>
      <c r="I213" s="145"/>
      <c r="O213" s="1"/>
    </row>
    <row r="214" spans="2:16" s="11" customFormat="1" ht="40.5">
      <c r="B214" s="141"/>
      <c r="D214" s="142" t="s">
        <v>95</v>
      </c>
      <c r="E214" s="143" t="s">
        <v>2</v>
      </c>
      <c r="F214" s="144" t="s">
        <v>1467</v>
      </c>
      <c r="H214" s="145">
        <f>(0.42+0.4+0.94+0.4+2.24+0.2+1.25+2.3+0.37+0.5+0.7+0.5+0.86+0.5+1.14+0.5+0.58+0.54+0.12+0.09+0.89+0.09+0.12+0.785+1.16+0.195)*0.15</f>
        <v>2.6684999999999999</v>
      </c>
      <c r="O214" s="1"/>
    </row>
    <row r="215" spans="2:16" s="11" customFormat="1">
      <c r="B215" s="141"/>
      <c r="D215" s="142" t="s">
        <v>95</v>
      </c>
      <c r="E215" s="143" t="s">
        <v>2</v>
      </c>
      <c r="F215" s="144" t="s">
        <v>1488</v>
      </c>
      <c r="H215" s="145">
        <f>(0.893+0.2+1.25+1)*0.15</f>
        <v>0.50144999999999995</v>
      </c>
      <c r="O215" s="1"/>
    </row>
    <row r="216" spans="2:16" s="11" customFormat="1">
      <c r="B216" s="141"/>
      <c r="D216" s="142" t="s">
        <v>95</v>
      </c>
      <c r="E216" s="143" t="s">
        <v>2</v>
      </c>
      <c r="F216" s="144" t="s">
        <v>1492</v>
      </c>
      <c r="H216" s="145">
        <f>(1+0.147+0.1+0.9+0.1+0.147+1)*0.15</f>
        <v>0.5091</v>
      </c>
      <c r="O216" s="1"/>
    </row>
    <row r="217" spans="2:16" s="11" customFormat="1" ht="27">
      <c r="B217" s="141"/>
      <c r="D217" s="142" t="s">
        <v>95</v>
      </c>
      <c r="E217" s="143" t="s">
        <v>2</v>
      </c>
      <c r="F217" s="144" t="s">
        <v>1468</v>
      </c>
      <c r="H217" s="145">
        <f>(2.33+0.25+1.175+0.25+0.535+0.2+1.25+0.2+2.295+0.34+1.33+0.34+0.415+0.265+0.445+1.22+0.445+0.165)*0.15</f>
        <v>2.0174999999999996</v>
      </c>
      <c r="O217" s="1"/>
    </row>
    <row r="218" spans="2:16" s="11" customFormat="1" ht="27">
      <c r="B218" s="141"/>
      <c r="D218" s="142" t="s">
        <v>95</v>
      </c>
      <c r="E218" s="143" t="s">
        <v>2</v>
      </c>
      <c r="F218" s="144" t="s">
        <v>1469</v>
      </c>
      <c r="H218" s="145">
        <f>(1.515+1.76+0.37+0.5+0.7+0.5+0.445)*0.15+(0.615+1.76+0.37)*1.2</f>
        <v>4.1624999999999996</v>
      </c>
      <c r="O218" s="1"/>
    </row>
    <row r="219" spans="2:16" s="11" customFormat="1" ht="27">
      <c r="B219" s="141"/>
      <c r="D219" s="142" t="s">
        <v>95</v>
      </c>
      <c r="E219" s="143" t="s">
        <v>2</v>
      </c>
      <c r="F219" s="144" t="s">
        <v>1470</v>
      </c>
      <c r="H219" s="145">
        <f>(0.415+0.34+1.33+0.34+0.415+0.415+0.5+1.14+0.5+0.605+1.76)*0.15</f>
        <v>1.1639999999999999</v>
      </c>
      <c r="O219" s="1"/>
    </row>
    <row r="220" spans="2:16" s="11" customFormat="1" ht="54">
      <c r="B220" s="141"/>
      <c r="D220" s="142" t="s">
        <v>95</v>
      </c>
      <c r="E220" s="143" t="s">
        <v>2</v>
      </c>
      <c r="F220" s="144" t="s">
        <v>1478</v>
      </c>
      <c r="H220" s="145">
        <f>((1.372+0.341+1.183+0.341+0.24+0.344+1.183+0.344+1.902)+(2.44+0.148+0.1+0.148+1.885+0.03+0.775+0.03+0.185+1.22+2.365)+(0.626+0.291+1.147+0.291+4.106)+(0.882+0.341+1.156+0.341+1.224+0.341+1.156+0.341+1.224+0.341+1.156+0.341+1.224+0.341+1.156+0.341+0.772))*0.15+(0.611)</f>
        <v>5.9682499999999994</v>
      </c>
      <c r="O220" s="1"/>
    </row>
    <row r="221" spans="2:16" s="12" customFormat="1">
      <c r="B221" s="146"/>
      <c r="D221" s="142" t="s">
        <v>95</v>
      </c>
      <c r="E221" s="342" t="s">
        <v>2</v>
      </c>
      <c r="F221" s="343" t="s">
        <v>96</v>
      </c>
      <c r="H221" s="149">
        <f>SUM(H211:H220)</f>
        <v>38.297899999999991</v>
      </c>
      <c r="O221" s="1"/>
    </row>
    <row r="222" spans="2:16" s="1" customFormat="1" ht="22.5" customHeight="1">
      <c r="B222" s="39"/>
      <c r="C222" s="135">
        <f>C210+1</f>
        <v>19</v>
      </c>
      <c r="D222" s="135" t="s">
        <v>65</v>
      </c>
      <c r="E222" s="136" t="s">
        <v>147</v>
      </c>
      <c r="F222" s="137" t="s">
        <v>148</v>
      </c>
      <c r="G222" s="138" t="s">
        <v>105</v>
      </c>
      <c r="H222" s="139">
        <f>H234</f>
        <v>347.37017999999995</v>
      </c>
      <c r="I222" s="90"/>
      <c r="J222" s="140">
        <f>ROUND(I222*H222,2)</f>
        <v>0</v>
      </c>
      <c r="K222" s="137"/>
      <c r="P222" s="1">
        <f>H222*0.025*1.85</f>
        <v>16.065870825000001</v>
      </c>
    </row>
    <row r="223" spans="2:16" s="11" customFormat="1" ht="27">
      <c r="B223" s="141"/>
      <c r="D223" s="142" t="s">
        <v>95</v>
      </c>
      <c r="E223" s="143" t="s">
        <v>2</v>
      </c>
      <c r="F223" s="144" t="s">
        <v>1471</v>
      </c>
      <c r="H223" s="145">
        <f>(0.1+0.2+1.525+0.59+0.2+1.11+0.51+0.2+3.09+1.9+0.885+0.2+0.1)*(3.06-0.1)-(1.525+0.59+0.2)*1.4</f>
        <v>28.164599999999997</v>
      </c>
      <c r="O223" s="1"/>
    </row>
    <row r="224" spans="2:16" s="11" customFormat="1">
      <c r="B224" s="141"/>
      <c r="D224" s="142" t="s">
        <v>95</v>
      </c>
      <c r="E224" s="143" t="s">
        <v>2</v>
      </c>
      <c r="F224" s="144" t="s">
        <v>2323</v>
      </c>
      <c r="H224" s="145">
        <f>(0.5+0.5)*2.2+(0.5)*1.5</f>
        <v>2.95</v>
      </c>
      <c r="O224" s="1"/>
    </row>
    <row r="225" spans="2:16" s="11" customFormat="1" ht="27">
      <c r="B225" s="141"/>
      <c r="D225" s="142" t="s">
        <v>95</v>
      </c>
      <c r="E225" s="143" t="s">
        <v>2</v>
      </c>
      <c r="F225" s="144" t="s">
        <v>1472</v>
      </c>
      <c r="H225" s="145">
        <f>(0.75+0.35+1.7+0.5+1.14+0.5+0.58+1.7+0.38+0.35+0.38+1.8)*(3.3-0.15)</f>
        <v>31.909500000000001</v>
      </c>
      <c r="O225" s="1"/>
    </row>
    <row r="226" spans="2:16" s="11" customFormat="1" ht="40.5">
      <c r="B226" s="141"/>
      <c r="D226" s="142" t="s">
        <v>95</v>
      </c>
      <c r="E226" s="143" t="s">
        <v>2</v>
      </c>
      <c r="F226" s="144" t="s">
        <v>1473</v>
      </c>
      <c r="H226" s="145">
        <f>(0.42+0.4+0.94+0.4+2.24+0.2+1.25+2.3+0.37+0.5+0.7+0.5+0.86+0.5+1.14+0.5+0.58+0.54+0.12+0.09+0.89+0.09+0.12+0.785+1.16+0.195)*(3.15-0.15)</f>
        <v>53.37</v>
      </c>
      <c r="O226" s="1"/>
    </row>
    <row r="227" spans="2:16" s="11" customFormat="1">
      <c r="B227" s="141"/>
      <c r="D227" s="142" t="s">
        <v>95</v>
      </c>
      <c r="E227" s="143" t="s">
        <v>2</v>
      </c>
      <c r="F227" s="144" t="s">
        <v>1487</v>
      </c>
      <c r="H227" s="145">
        <f>(0.893+0.2+1.25+1)*(3.44-0.15)</f>
        <v>10.998469999999999</v>
      </c>
      <c r="O227" s="1"/>
    </row>
    <row r="228" spans="2:16" s="11" customFormat="1" ht="27">
      <c r="B228" s="141"/>
      <c r="D228" s="142" t="s">
        <v>95</v>
      </c>
      <c r="E228" s="143" t="s">
        <v>2</v>
      </c>
      <c r="F228" s="144" t="s">
        <v>1491</v>
      </c>
      <c r="H228" s="145">
        <f>(1+0.147+0.1+0.9+0.1+0.147+1)*(3.44-0.15)</f>
        <v>11.166260000000001</v>
      </c>
      <c r="O228" s="1"/>
    </row>
    <row r="229" spans="2:16" s="11" customFormat="1" ht="27">
      <c r="B229" s="141"/>
      <c r="D229" s="142" t="s">
        <v>95</v>
      </c>
      <c r="E229" s="143" t="s">
        <v>2</v>
      </c>
      <c r="F229" s="144" t="s">
        <v>1474</v>
      </c>
      <c r="H229" s="145">
        <f>(2.33+0.25+1.175+0.25+0.535+0.2+1.25+0.2+2.295+0.34+1.33+0.34+0.415+0.265+0.445+1.22+0.445+0.165)*(3.44-0.15)</f>
        <v>44.250499999999995</v>
      </c>
      <c r="O229" s="1"/>
    </row>
    <row r="230" spans="2:16" s="11" customFormat="1" ht="27">
      <c r="B230" s="141"/>
      <c r="D230" s="142" t="s">
        <v>95</v>
      </c>
      <c r="E230" s="143" t="s">
        <v>2</v>
      </c>
      <c r="F230" s="144" t="s">
        <v>2324</v>
      </c>
      <c r="H230" s="145">
        <f>(0.53+0.34+0.53)*2.8+(0.35+0.15+0.35)*2.18</f>
        <v>5.7729999999999997</v>
      </c>
      <c r="O230" s="1"/>
    </row>
    <row r="231" spans="2:16" s="11" customFormat="1" ht="40.5">
      <c r="B231" s="141"/>
      <c r="D231" s="142" t="s">
        <v>95</v>
      </c>
      <c r="E231" s="143" t="s">
        <v>2</v>
      </c>
      <c r="F231" s="144" t="s">
        <v>1475</v>
      </c>
      <c r="H231" s="145">
        <f>((1.515+1.76+0.37+0.5+0.7+0.5+0.445)*3.44)-((1.515+1.76+0.37+0.5+0.7+0.5+0.445)*0.15+(0.615+1.76+0.37)*1.2)</f>
        <v>15.755100000000001</v>
      </c>
      <c r="O231" s="1"/>
    </row>
    <row r="232" spans="2:16" s="11" customFormat="1" ht="27">
      <c r="B232" s="141"/>
      <c r="D232" s="142" t="s">
        <v>95</v>
      </c>
      <c r="E232" s="143" t="s">
        <v>2</v>
      </c>
      <c r="F232" s="144" t="s">
        <v>1476</v>
      </c>
      <c r="H232" s="145">
        <f>(0.415+0.34+1.33+0.34+0.415+0.415+0.5+1.14+0.5+0.605+1.76)*(3.44-0.15)</f>
        <v>25.5304</v>
      </c>
      <c r="O232" s="1"/>
    </row>
    <row r="233" spans="2:16" s="11" customFormat="1" ht="54">
      <c r="B233" s="141"/>
      <c r="D233" s="142" t="s">
        <v>95</v>
      </c>
      <c r="E233" s="143" t="s">
        <v>2</v>
      </c>
      <c r="F233" s="144" t="s">
        <v>1477</v>
      </c>
      <c r="H233" s="145">
        <f>((1.372+0.341+1.183+0.341+0.24+0.344+1.183+0.344+1.902)+(2.44+0.148+0.1+0.148+1.885+0.03+0.775+0.03+0.185+1.22+2.365)+(0.626+0.291+1.147+0.291+4.106)+(0.882+0.341+1.156+0.341+1.224+0.341+1.156+0.341+1.224+0.341+1.156+0.341+1.224+0.341+1.156+0.341+0.772))*(3.44-0.15)</f>
        <v>117.50234999999999</v>
      </c>
      <c r="O233" s="1"/>
    </row>
    <row r="234" spans="2:16" s="12" customFormat="1">
      <c r="B234" s="146"/>
      <c r="D234" s="142" t="s">
        <v>95</v>
      </c>
      <c r="E234" s="342" t="s">
        <v>2</v>
      </c>
      <c r="F234" s="343" t="s">
        <v>96</v>
      </c>
      <c r="H234" s="149">
        <f>SUM(H223:H233)</f>
        <v>347.37017999999995</v>
      </c>
      <c r="O234" s="1"/>
    </row>
    <row r="235" spans="2:16" s="1" customFormat="1" ht="22.5" customHeight="1">
      <c r="B235" s="39"/>
      <c r="C235" s="135">
        <f>C222+1</f>
        <v>20</v>
      </c>
      <c r="D235" s="135" t="s">
        <v>65</v>
      </c>
      <c r="E235" s="136" t="s">
        <v>1524</v>
      </c>
      <c r="F235" s="137" t="s">
        <v>1525</v>
      </c>
      <c r="G235" s="138" t="s">
        <v>105</v>
      </c>
      <c r="H235" s="139">
        <f>H239</f>
        <v>45.173999999999999</v>
      </c>
      <c r="I235" s="90"/>
      <c r="J235" s="140">
        <f>ROUND(I235*H235,2)</f>
        <v>0</v>
      </c>
      <c r="K235" s="137"/>
      <c r="P235" s="1">
        <f>H235*0.025*1.85</f>
        <v>2.0892975000000003</v>
      </c>
    </row>
    <row r="236" spans="2:16" s="11" customFormat="1" ht="40.9" customHeight="1">
      <c r="B236" s="141"/>
      <c r="D236" s="142" t="s">
        <v>95</v>
      </c>
      <c r="E236" s="143" t="s">
        <v>2</v>
      </c>
      <c r="F236" s="144" t="s">
        <v>2222</v>
      </c>
      <c r="H236" s="145">
        <f>((0.7+2.02*2)*1+(1.35+2.02*2)*1+(1.41+2.44*2)*1+(1.36+2.4*2)*1+(1.09+2.29*2)*1+(1.45+2.4*2)*1+(1.42+2.39*2)*1+(1+2.02*2)*1)*0.1</f>
        <v>4.5740000000000007</v>
      </c>
      <c r="O236" s="1"/>
    </row>
    <row r="237" spans="2:16" s="11" customFormat="1">
      <c r="B237" s="141"/>
      <c r="D237" s="142" t="s">
        <v>95</v>
      </c>
      <c r="E237" s="143" t="s">
        <v>2</v>
      </c>
      <c r="F237" s="144" t="s">
        <v>1526</v>
      </c>
      <c r="H237" s="145">
        <f>(((0.7+1.4*2)*2)*2)*0.4</f>
        <v>5.6000000000000005</v>
      </c>
      <c r="O237" s="1"/>
    </row>
    <row r="238" spans="2:16" s="11" customFormat="1">
      <c r="B238" s="141"/>
      <c r="D238" s="142" t="s">
        <v>95</v>
      </c>
      <c r="E238" s="143" t="s">
        <v>2</v>
      </c>
      <c r="F238" s="144" t="s">
        <v>1527</v>
      </c>
      <c r="H238" s="145">
        <f>(((1+2*2)*2)*7)*0.5</f>
        <v>35</v>
      </c>
      <c r="O238" s="1"/>
    </row>
    <row r="239" spans="2:16" s="12" customFormat="1">
      <c r="B239" s="146"/>
      <c r="D239" s="142" t="s">
        <v>95</v>
      </c>
      <c r="E239" s="342" t="s">
        <v>2</v>
      </c>
      <c r="F239" s="343" t="s">
        <v>96</v>
      </c>
      <c r="H239" s="149">
        <f>SUM(H236:H238)</f>
        <v>45.173999999999999</v>
      </c>
      <c r="O239" s="1"/>
    </row>
    <row r="240" spans="2:16" s="1" customFormat="1" ht="22.5" customHeight="1">
      <c r="B240" s="39"/>
      <c r="C240" s="135">
        <f>C235+1</f>
        <v>21</v>
      </c>
      <c r="D240" s="135" t="s">
        <v>65</v>
      </c>
      <c r="E240" s="136" t="s">
        <v>1498</v>
      </c>
      <c r="F240" s="137" t="s">
        <v>1499</v>
      </c>
      <c r="G240" s="138" t="s">
        <v>105</v>
      </c>
      <c r="H240" s="139">
        <f>H252</f>
        <v>110.49</v>
      </c>
      <c r="I240" s="90"/>
      <c r="J240" s="140">
        <f>ROUND(I240*H240,2)</f>
        <v>0</v>
      </c>
      <c r="K240" s="137"/>
      <c r="P240" s="1">
        <f>H240*0.005*0.45</f>
        <v>0.2486025</v>
      </c>
    </row>
    <row r="241" spans="2:16" s="11" customFormat="1">
      <c r="B241" s="141"/>
      <c r="D241" s="142" t="s">
        <v>95</v>
      </c>
      <c r="E241" s="143" t="s">
        <v>2</v>
      </c>
      <c r="F241" s="144" t="s">
        <v>1481</v>
      </c>
      <c r="H241" s="145">
        <f>6.898</f>
        <v>6.8979999999999997</v>
      </c>
      <c r="O241" s="1"/>
    </row>
    <row r="242" spans="2:16" s="11" customFormat="1">
      <c r="B242" s="141"/>
      <c r="D242" s="142" t="s">
        <v>95</v>
      </c>
      <c r="E242" s="143" t="s">
        <v>2</v>
      </c>
      <c r="F242" s="144" t="s">
        <v>1482</v>
      </c>
      <c r="H242" s="145">
        <f>4.074</f>
        <v>4.0739999999999998</v>
      </c>
      <c r="O242" s="1"/>
    </row>
    <row r="243" spans="2:16" s="11" customFormat="1">
      <c r="B243" s="141"/>
      <c r="D243" s="142" t="s">
        <v>95</v>
      </c>
      <c r="E243" s="143" t="s">
        <v>2</v>
      </c>
      <c r="F243" s="144" t="s">
        <v>1483</v>
      </c>
      <c r="H243" s="145">
        <f>1.395</f>
        <v>1.395</v>
      </c>
      <c r="O243" s="1"/>
    </row>
    <row r="244" spans="2:16" s="11" customFormat="1">
      <c r="B244" s="141"/>
      <c r="D244" s="142" t="s">
        <v>95</v>
      </c>
      <c r="E244" s="143" t="s">
        <v>2</v>
      </c>
      <c r="F244" s="144" t="s">
        <v>1484</v>
      </c>
      <c r="H244" s="145">
        <f>4.245</f>
        <v>4.2450000000000001</v>
      </c>
      <c r="O244" s="1"/>
    </row>
    <row r="245" spans="2:16" s="11" customFormat="1">
      <c r="B245" s="141"/>
      <c r="D245" s="142" t="s">
        <v>95</v>
      </c>
      <c r="E245" s="143" t="s">
        <v>2</v>
      </c>
      <c r="F245" s="144" t="s">
        <v>1485</v>
      </c>
      <c r="H245" s="145">
        <f>14.712</f>
        <v>14.712</v>
      </c>
      <c r="O245" s="1"/>
    </row>
    <row r="246" spans="2:16" s="11" customFormat="1">
      <c r="B246" s="141"/>
      <c r="D246" s="142" t="s">
        <v>95</v>
      </c>
      <c r="E246" s="143" t="s">
        <v>2</v>
      </c>
      <c r="F246" s="144" t="s">
        <v>1486</v>
      </c>
      <c r="H246" s="145">
        <f>2.406</f>
        <v>2.4060000000000001</v>
      </c>
      <c r="O246" s="1"/>
    </row>
    <row r="247" spans="2:16" s="11" customFormat="1">
      <c r="B247" s="141"/>
      <c r="D247" s="142" t="s">
        <v>95</v>
      </c>
      <c r="E247" s="143" t="s">
        <v>2</v>
      </c>
      <c r="F247" s="144" t="s">
        <v>1490</v>
      </c>
      <c r="H247" s="145">
        <f>3.122</f>
        <v>3.1219999999999999</v>
      </c>
      <c r="O247" s="1"/>
    </row>
    <row r="248" spans="2:16" s="11" customFormat="1">
      <c r="B248" s="141"/>
      <c r="D248" s="142" t="s">
        <v>95</v>
      </c>
      <c r="E248" s="143" t="s">
        <v>2</v>
      </c>
      <c r="F248" s="144" t="s">
        <v>1494</v>
      </c>
      <c r="H248" s="145">
        <f>7.503</f>
        <v>7.5030000000000001</v>
      </c>
      <c r="O248" s="1"/>
    </row>
    <row r="249" spans="2:16" s="11" customFormat="1">
      <c r="B249" s="141"/>
      <c r="D249" s="142" t="s">
        <v>95</v>
      </c>
      <c r="E249" s="143" t="s">
        <v>2</v>
      </c>
      <c r="F249" s="144" t="s">
        <v>1495</v>
      </c>
      <c r="H249" s="145">
        <f>2.666</f>
        <v>2.6659999999999999</v>
      </c>
      <c r="O249" s="1"/>
    </row>
    <row r="250" spans="2:16" s="11" customFormat="1">
      <c r="B250" s="141"/>
      <c r="D250" s="142" t="s">
        <v>95</v>
      </c>
      <c r="E250" s="143" t="s">
        <v>2</v>
      </c>
      <c r="F250" s="144" t="s">
        <v>1496</v>
      </c>
      <c r="H250" s="145">
        <f>4.824</f>
        <v>4.8239999999999998</v>
      </c>
      <c r="O250" s="1"/>
    </row>
    <row r="251" spans="2:16" s="11" customFormat="1">
      <c r="B251" s="141"/>
      <c r="D251" s="142" t="s">
        <v>95</v>
      </c>
      <c r="E251" s="143" t="s">
        <v>2</v>
      </c>
      <c r="F251" s="144" t="s">
        <v>1497</v>
      </c>
      <c r="H251" s="145">
        <f>58.645</f>
        <v>58.645000000000003</v>
      </c>
      <c r="O251" s="1"/>
    </row>
    <row r="252" spans="2:16" s="12" customFormat="1">
      <c r="B252" s="146"/>
      <c r="D252" s="142" t="s">
        <v>95</v>
      </c>
      <c r="E252" s="342" t="s">
        <v>2</v>
      </c>
      <c r="F252" s="343" t="s">
        <v>96</v>
      </c>
      <c r="H252" s="149">
        <f>SUM(H241:H251)</f>
        <v>110.49</v>
      </c>
      <c r="O252" s="1"/>
    </row>
    <row r="253" spans="2:16" s="1" customFormat="1" ht="22.5" customHeight="1">
      <c r="B253" s="39"/>
      <c r="C253" s="135">
        <f>C240+1</f>
        <v>22</v>
      </c>
      <c r="D253" s="135" t="s">
        <v>65</v>
      </c>
      <c r="E253" s="136" t="s">
        <v>2337</v>
      </c>
      <c r="F253" s="137" t="s">
        <v>2336</v>
      </c>
      <c r="G253" s="138" t="s">
        <v>105</v>
      </c>
      <c r="H253" s="139">
        <f>H255</f>
        <v>5.7729999999999997</v>
      </c>
      <c r="I253" s="90"/>
      <c r="J253" s="140">
        <f>ROUND(I253*H253,2)</f>
        <v>0</v>
      </c>
      <c r="K253" s="137"/>
      <c r="P253" s="1">
        <f>H253*0.005*1.26</f>
        <v>3.6369899999999997E-2</v>
      </c>
    </row>
    <row r="254" spans="2:16" s="11" customFormat="1" ht="27">
      <c r="B254" s="141"/>
      <c r="D254" s="142" t="s">
        <v>95</v>
      </c>
      <c r="E254" s="143" t="s">
        <v>2</v>
      </c>
      <c r="F254" s="144" t="s">
        <v>2324</v>
      </c>
      <c r="H254" s="145">
        <f>(0.53+0.34+0.53)*2.8+(0.35+0.15+0.35)*2.18</f>
        <v>5.7729999999999997</v>
      </c>
      <c r="O254" s="1"/>
    </row>
    <row r="255" spans="2:16" s="12" customFormat="1">
      <c r="B255" s="146"/>
      <c r="D255" s="142" t="s">
        <v>95</v>
      </c>
      <c r="E255" s="342" t="s">
        <v>2</v>
      </c>
      <c r="F255" s="343" t="s">
        <v>96</v>
      </c>
      <c r="H255" s="149">
        <f>SUM(H254:H254)</f>
        <v>5.7729999999999997</v>
      </c>
      <c r="O255" s="1"/>
    </row>
    <row r="256" spans="2:16" s="1" customFormat="1" ht="22.5" customHeight="1">
      <c r="B256" s="39"/>
      <c r="C256" s="135">
        <f>C253+1</f>
        <v>23</v>
      </c>
      <c r="D256" s="135" t="s">
        <v>65</v>
      </c>
      <c r="E256" s="136" t="s">
        <v>1500</v>
      </c>
      <c r="F256" s="137" t="s">
        <v>1501</v>
      </c>
      <c r="G256" s="138" t="s">
        <v>105</v>
      </c>
      <c r="H256" s="139">
        <f>H268</f>
        <v>110.49</v>
      </c>
      <c r="I256" s="90"/>
      <c r="J256" s="140">
        <f>ROUND(I256*H256,2)</f>
        <v>0</v>
      </c>
      <c r="K256" s="137"/>
      <c r="P256" s="1">
        <f>H256*0.005*1.26</f>
        <v>0.69608700000000001</v>
      </c>
    </row>
    <row r="257" spans="2:16" s="11" customFormat="1">
      <c r="B257" s="141"/>
      <c r="D257" s="142" t="s">
        <v>95</v>
      </c>
      <c r="E257" s="143" t="s">
        <v>2</v>
      </c>
      <c r="F257" s="144" t="s">
        <v>1481</v>
      </c>
      <c r="H257" s="145">
        <f>6.898</f>
        <v>6.8979999999999997</v>
      </c>
      <c r="O257" s="1"/>
    </row>
    <row r="258" spans="2:16" s="11" customFormat="1">
      <c r="B258" s="141"/>
      <c r="D258" s="142" t="s">
        <v>95</v>
      </c>
      <c r="E258" s="143" t="s">
        <v>2</v>
      </c>
      <c r="F258" s="144" t="s">
        <v>1482</v>
      </c>
      <c r="H258" s="145">
        <f>4.074</f>
        <v>4.0739999999999998</v>
      </c>
      <c r="O258" s="1"/>
    </row>
    <row r="259" spans="2:16" s="11" customFormat="1">
      <c r="B259" s="141"/>
      <c r="D259" s="142" t="s">
        <v>95</v>
      </c>
      <c r="E259" s="143" t="s">
        <v>2</v>
      </c>
      <c r="F259" s="144" t="s">
        <v>1483</v>
      </c>
      <c r="H259" s="145">
        <f>1.395</f>
        <v>1.395</v>
      </c>
      <c r="O259" s="1"/>
    </row>
    <row r="260" spans="2:16" s="11" customFormat="1">
      <c r="B260" s="141"/>
      <c r="D260" s="142" t="s">
        <v>95</v>
      </c>
      <c r="E260" s="143" t="s">
        <v>2</v>
      </c>
      <c r="F260" s="144" t="s">
        <v>1484</v>
      </c>
      <c r="H260" s="145">
        <f>4.245</f>
        <v>4.2450000000000001</v>
      </c>
      <c r="O260" s="1"/>
    </row>
    <row r="261" spans="2:16" s="11" customFormat="1">
      <c r="B261" s="141"/>
      <c r="D261" s="142" t="s">
        <v>95</v>
      </c>
      <c r="E261" s="143" t="s">
        <v>2</v>
      </c>
      <c r="F261" s="144" t="s">
        <v>1485</v>
      </c>
      <c r="H261" s="145">
        <f>14.712</f>
        <v>14.712</v>
      </c>
      <c r="O261" s="1"/>
    </row>
    <row r="262" spans="2:16" s="11" customFormat="1">
      <c r="B262" s="141"/>
      <c r="D262" s="142" t="s">
        <v>95</v>
      </c>
      <c r="E262" s="143" t="s">
        <v>2</v>
      </c>
      <c r="F262" s="144" t="s">
        <v>1486</v>
      </c>
      <c r="H262" s="145">
        <f>2.406</f>
        <v>2.4060000000000001</v>
      </c>
      <c r="O262" s="1"/>
    </row>
    <row r="263" spans="2:16" s="11" customFormat="1">
      <c r="B263" s="141"/>
      <c r="D263" s="142" t="s">
        <v>95</v>
      </c>
      <c r="E263" s="143" t="s">
        <v>2</v>
      </c>
      <c r="F263" s="144" t="s">
        <v>1490</v>
      </c>
      <c r="H263" s="145">
        <f>3.122</f>
        <v>3.1219999999999999</v>
      </c>
      <c r="O263" s="1"/>
    </row>
    <row r="264" spans="2:16" s="11" customFormat="1">
      <c r="B264" s="141"/>
      <c r="D264" s="142" t="s">
        <v>95</v>
      </c>
      <c r="E264" s="143" t="s">
        <v>2</v>
      </c>
      <c r="F264" s="144" t="s">
        <v>1494</v>
      </c>
      <c r="H264" s="145">
        <f>7.503</f>
        <v>7.5030000000000001</v>
      </c>
      <c r="O264" s="1"/>
    </row>
    <row r="265" spans="2:16" s="11" customFormat="1">
      <c r="B265" s="141"/>
      <c r="D265" s="142" t="s">
        <v>95</v>
      </c>
      <c r="E265" s="143" t="s">
        <v>2</v>
      </c>
      <c r="F265" s="144" t="s">
        <v>1495</v>
      </c>
      <c r="H265" s="145">
        <f>2.666</f>
        <v>2.6659999999999999</v>
      </c>
      <c r="O265" s="1"/>
    </row>
    <row r="266" spans="2:16" s="11" customFormat="1">
      <c r="B266" s="141"/>
      <c r="D266" s="142" t="s">
        <v>95</v>
      </c>
      <c r="E266" s="143" t="s">
        <v>2</v>
      </c>
      <c r="F266" s="144" t="s">
        <v>1496</v>
      </c>
      <c r="H266" s="145">
        <f>4.824</f>
        <v>4.8239999999999998</v>
      </c>
      <c r="O266" s="1"/>
    </row>
    <row r="267" spans="2:16" s="11" customFormat="1">
      <c r="B267" s="141"/>
      <c r="D267" s="142" t="s">
        <v>95</v>
      </c>
      <c r="E267" s="143" t="s">
        <v>2</v>
      </c>
      <c r="F267" s="144" t="s">
        <v>1497</v>
      </c>
      <c r="H267" s="145">
        <f>58.645</f>
        <v>58.645000000000003</v>
      </c>
      <c r="O267" s="1"/>
    </row>
    <row r="268" spans="2:16" s="12" customFormat="1">
      <c r="B268" s="146"/>
      <c r="D268" s="142" t="s">
        <v>95</v>
      </c>
      <c r="E268" s="342" t="s">
        <v>2</v>
      </c>
      <c r="F268" s="343" t="s">
        <v>96</v>
      </c>
      <c r="H268" s="149">
        <f>SUM(H257:H267)</f>
        <v>110.49</v>
      </c>
      <c r="O268" s="1"/>
    </row>
    <row r="269" spans="2:16" s="1" customFormat="1" ht="22.5" customHeight="1">
      <c r="B269" s="39"/>
      <c r="C269" s="135">
        <f>C256+1</f>
        <v>24</v>
      </c>
      <c r="D269" s="135" t="s">
        <v>65</v>
      </c>
      <c r="E269" s="136" t="s">
        <v>1479</v>
      </c>
      <c r="F269" s="137" t="s">
        <v>1480</v>
      </c>
      <c r="G269" s="138" t="s">
        <v>105</v>
      </c>
      <c r="H269" s="139">
        <f>H281</f>
        <v>110.49</v>
      </c>
      <c r="I269" s="90"/>
      <c r="J269" s="140">
        <f>ROUND(I269*H269,2)</f>
        <v>0</v>
      </c>
      <c r="K269" s="137"/>
      <c r="P269" s="1">
        <f>H269*0.005*1.85</f>
        <v>1.0220325000000001</v>
      </c>
    </row>
    <row r="270" spans="2:16" s="11" customFormat="1">
      <c r="B270" s="141"/>
      <c r="D270" s="142" t="s">
        <v>95</v>
      </c>
      <c r="E270" s="143" t="s">
        <v>2</v>
      </c>
      <c r="F270" s="144" t="s">
        <v>1481</v>
      </c>
      <c r="H270" s="145">
        <f>6.898</f>
        <v>6.8979999999999997</v>
      </c>
      <c r="O270" s="1"/>
    </row>
    <row r="271" spans="2:16" s="11" customFormat="1">
      <c r="B271" s="141"/>
      <c r="D271" s="142" t="s">
        <v>95</v>
      </c>
      <c r="E271" s="143" t="s">
        <v>2</v>
      </c>
      <c r="F271" s="144" t="s">
        <v>1482</v>
      </c>
      <c r="H271" s="145">
        <f>4.074</f>
        <v>4.0739999999999998</v>
      </c>
      <c r="O271" s="1"/>
    </row>
    <row r="272" spans="2:16" s="11" customFormat="1">
      <c r="B272" s="141"/>
      <c r="D272" s="142" t="s">
        <v>95</v>
      </c>
      <c r="E272" s="143" t="s">
        <v>2</v>
      </c>
      <c r="F272" s="144" t="s">
        <v>1483</v>
      </c>
      <c r="H272" s="145">
        <f>1.395</f>
        <v>1.395</v>
      </c>
      <c r="O272" s="1"/>
    </row>
    <row r="273" spans="2:16" s="11" customFormat="1">
      <c r="B273" s="141"/>
      <c r="D273" s="142" t="s">
        <v>95</v>
      </c>
      <c r="E273" s="143" t="s">
        <v>2</v>
      </c>
      <c r="F273" s="144" t="s">
        <v>1484</v>
      </c>
      <c r="H273" s="145">
        <f>4.245</f>
        <v>4.2450000000000001</v>
      </c>
      <c r="O273" s="1"/>
    </row>
    <row r="274" spans="2:16" s="11" customFormat="1">
      <c r="B274" s="141"/>
      <c r="D274" s="142" t="s">
        <v>95</v>
      </c>
      <c r="E274" s="143" t="s">
        <v>2</v>
      </c>
      <c r="F274" s="144" t="s">
        <v>1485</v>
      </c>
      <c r="H274" s="145">
        <f>14.712</f>
        <v>14.712</v>
      </c>
      <c r="O274" s="1"/>
    </row>
    <row r="275" spans="2:16" s="11" customFormat="1">
      <c r="B275" s="141"/>
      <c r="D275" s="142" t="s">
        <v>95</v>
      </c>
      <c r="E275" s="143" t="s">
        <v>2</v>
      </c>
      <c r="F275" s="144" t="s">
        <v>1486</v>
      </c>
      <c r="H275" s="145">
        <f>2.406</f>
        <v>2.4060000000000001</v>
      </c>
      <c r="O275" s="1"/>
    </row>
    <row r="276" spans="2:16" s="11" customFormat="1">
      <c r="B276" s="141"/>
      <c r="D276" s="142" t="s">
        <v>95</v>
      </c>
      <c r="E276" s="143" t="s">
        <v>2</v>
      </c>
      <c r="F276" s="144" t="s">
        <v>1490</v>
      </c>
      <c r="H276" s="145">
        <f>3.122</f>
        <v>3.1219999999999999</v>
      </c>
      <c r="O276" s="1"/>
    </row>
    <row r="277" spans="2:16" s="11" customFormat="1">
      <c r="B277" s="141"/>
      <c r="D277" s="142" t="s">
        <v>95</v>
      </c>
      <c r="E277" s="143" t="s">
        <v>2</v>
      </c>
      <c r="F277" s="144" t="s">
        <v>1494</v>
      </c>
      <c r="H277" s="145">
        <f>7.503</f>
        <v>7.5030000000000001</v>
      </c>
      <c r="O277" s="1"/>
    </row>
    <row r="278" spans="2:16" s="11" customFormat="1">
      <c r="B278" s="141"/>
      <c r="D278" s="142" t="s">
        <v>95</v>
      </c>
      <c r="E278" s="143" t="s">
        <v>2</v>
      </c>
      <c r="F278" s="144" t="s">
        <v>1495</v>
      </c>
      <c r="H278" s="145">
        <f>2.666</f>
        <v>2.6659999999999999</v>
      </c>
      <c r="O278" s="1"/>
    </row>
    <row r="279" spans="2:16" s="11" customFormat="1">
      <c r="B279" s="141"/>
      <c r="D279" s="142" t="s">
        <v>95</v>
      </c>
      <c r="E279" s="143" t="s">
        <v>2</v>
      </c>
      <c r="F279" s="144" t="s">
        <v>1496</v>
      </c>
      <c r="H279" s="145">
        <f>4.824</f>
        <v>4.8239999999999998</v>
      </c>
      <c r="O279" s="1"/>
    </row>
    <row r="280" spans="2:16" s="11" customFormat="1">
      <c r="B280" s="141"/>
      <c r="D280" s="142" t="s">
        <v>95</v>
      </c>
      <c r="E280" s="143" t="s">
        <v>2</v>
      </c>
      <c r="F280" s="144" t="s">
        <v>1497</v>
      </c>
      <c r="H280" s="145">
        <f>58.645</f>
        <v>58.645000000000003</v>
      </c>
      <c r="O280" s="1"/>
    </row>
    <row r="281" spans="2:16" s="12" customFormat="1">
      <c r="B281" s="146"/>
      <c r="D281" s="142" t="s">
        <v>95</v>
      </c>
      <c r="E281" s="342" t="s">
        <v>2</v>
      </c>
      <c r="F281" s="343" t="s">
        <v>96</v>
      </c>
      <c r="H281" s="149">
        <f>SUM(H270:H280)</f>
        <v>110.49</v>
      </c>
      <c r="O281" s="1"/>
    </row>
    <row r="282" spans="2:16" s="1" customFormat="1" ht="22.5" customHeight="1">
      <c r="B282" s="39"/>
      <c r="C282" s="135">
        <f>C269+1</f>
        <v>25</v>
      </c>
      <c r="D282" s="135" t="s">
        <v>65</v>
      </c>
      <c r="E282" s="136" t="s">
        <v>1502</v>
      </c>
      <c r="F282" s="137" t="s">
        <v>1503</v>
      </c>
      <c r="G282" s="138" t="s">
        <v>105</v>
      </c>
      <c r="H282" s="139">
        <f>H294</f>
        <v>110.49</v>
      </c>
      <c r="I282" s="90"/>
      <c r="J282" s="140">
        <f>ROUND(I282*H282,2)</f>
        <v>0</v>
      </c>
      <c r="K282" s="137"/>
      <c r="P282" s="1">
        <f>H282*0.03*1.85</f>
        <v>6.1321950000000003</v>
      </c>
    </row>
    <row r="283" spans="2:16" s="11" customFormat="1">
      <c r="B283" s="141"/>
      <c r="D283" s="142" t="s">
        <v>95</v>
      </c>
      <c r="E283" s="143" t="s">
        <v>2</v>
      </c>
      <c r="F283" s="144" t="s">
        <v>1481</v>
      </c>
      <c r="H283" s="145">
        <f>6.898</f>
        <v>6.8979999999999997</v>
      </c>
      <c r="O283" s="1"/>
    </row>
    <row r="284" spans="2:16" s="11" customFormat="1">
      <c r="B284" s="141"/>
      <c r="D284" s="142" t="s">
        <v>95</v>
      </c>
      <c r="E284" s="143" t="s">
        <v>2</v>
      </c>
      <c r="F284" s="144" t="s">
        <v>1482</v>
      </c>
      <c r="H284" s="145">
        <f>4.074</f>
        <v>4.0739999999999998</v>
      </c>
      <c r="O284" s="1"/>
    </row>
    <row r="285" spans="2:16" s="11" customFormat="1">
      <c r="B285" s="141"/>
      <c r="D285" s="142" t="s">
        <v>95</v>
      </c>
      <c r="E285" s="143" t="s">
        <v>2</v>
      </c>
      <c r="F285" s="144" t="s">
        <v>1483</v>
      </c>
      <c r="H285" s="145">
        <f>1.395</f>
        <v>1.395</v>
      </c>
      <c r="O285" s="1"/>
    </row>
    <row r="286" spans="2:16" s="11" customFormat="1">
      <c r="B286" s="141"/>
      <c r="D286" s="142" t="s">
        <v>95</v>
      </c>
      <c r="E286" s="143" t="s">
        <v>2</v>
      </c>
      <c r="F286" s="144" t="s">
        <v>1484</v>
      </c>
      <c r="H286" s="145">
        <f>4.245</f>
        <v>4.2450000000000001</v>
      </c>
      <c r="O286" s="1"/>
    </row>
    <row r="287" spans="2:16" s="11" customFormat="1">
      <c r="B287" s="141"/>
      <c r="D287" s="142" t="s">
        <v>95</v>
      </c>
      <c r="E287" s="143" t="s">
        <v>2</v>
      </c>
      <c r="F287" s="144" t="s">
        <v>1485</v>
      </c>
      <c r="H287" s="145">
        <f>14.712</f>
        <v>14.712</v>
      </c>
      <c r="O287" s="1"/>
    </row>
    <row r="288" spans="2:16" s="11" customFormat="1">
      <c r="B288" s="141"/>
      <c r="D288" s="142" t="s">
        <v>95</v>
      </c>
      <c r="E288" s="143" t="s">
        <v>2</v>
      </c>
      <c r="F288" s="144" t="s">
        <v>1486</v>
      </c>
      <c r="H288" s="145">
        <f>2.406</f>
        <v>2.4060000000000001</v>
      </c>
      <c r="O288" s="1"/>
    </row>
    <row r="289" spans="2:16" s="11" customFormat="1">
      <c r="B289" s="141"/>
      <c r="D289" s="142" t="s">
        <v>95</v>
      </c>
      <c r="E289" s="143" t="s">
        <v>2</v>
      </c>
      <c r="F289" s="144" t="s">
        <v>1490</v>
      </c>
      <c r="H289" s="145">
        <f>3.122</f>
        <v>3.1219999999999999</v>
      </c>
      <c r="O289" s="1"/>
    </row>
    <row r="290" spans="2:16" s="11" customFormat="1">
      <c r="B290" s="141"/>
      <c r="D290" s="142" t="s">
        <v>95</v>
      </c>
      <c r="E290" s="143" t="s">
        <v>2</v>
      </c>
      <c r="F290" s="144" t="s">
        <v>1494</v>
      </c>
      <c r="H290" s="145">
        <f>7.503</f>
        <v>7.5030000000000001</v>
      </c>
      <c r="O290" s="1"/>
    </row>
    <row r="291" spans="2:16" s="11" customFormat="1">
      <c r="B291" s="141"/>
      <c r="D291" s="142" t="s">
        <v>95</v>
      </c>
      <c r="E291" s="143" t="s">
        <v>2</v>
      </c>
      <c r="F291" s="144" t="s">
        <v>1495</v>
      </c>
      <c r="H291" s="145">
        <f>2.666</f>
        <v>2.6659999999999999</v>
      </c>
      <c r="O291" s="1"/>
    </row>
    <row r="292" spans="2:16" s="11" customFormat="1">
      <c r="B292" s="141"/>
      <c r="D292" s="142" t="s">
        <v>95</v>
      </c>
      <c r="E292" s="143" t="s">
        <v>2</v>
      </c>
      <c r="F292" s="144" t="s">
        <v>1496</v>
      </c>
      <c r="H292" s="145">
        <f>4.824</f>
        <v>4.8239999999999998</v>
      </c>
      <c r="O292" s="1"/>
    </row>
    <row r="293" spans="2:16" s="11" customFormat="1">
      <c r="B293" s="141"/>
      <c r="D293" s="142" t="s">
        <v>95</v>
      </c>
      <c r="E293" s="143" t="s">
        <v>2</v>
      </c>
      <c r="F293" s="144" t="s">
        <v>1497</v>
      </c>
      <c r="H293" s="145">
        <f>58.645</f>
        <v>58.645000000000003</v>
      </c>
      <c r="O293" s="1"/>
    </row>
    <row r="294" spans="2:16" s="12" customFormat="1">
      <c r="B294" s="146"/>
      <c r="D294" s="142" t="s">
        <v>95</v>
      </c>
      <c r="E294" s="342" t="s">
        <v>2</v>
      </c>
      <c r="F294" s="343" t="s">
        <v>96</v>
      </c>
      <c r="H294" s="149">
        <f>SUM(H283:H293)</f>
        <v>110.49</v>
      </c>
      <c r="O294" s="1"/>
    </row>
    <row r="295" spans="2:16" s="1" customFormat="1" ht="22.5" customHeight="1">
      <c r="B295" s="39"/>
      <c r="C295" s="135">
        <f>C282+1</f>
        <v>26</v>
      </c>
      <c r="D295" s="135" t="s">
        <v>65</v>
      </c>
      <c r="E295" s="136" t="s">
        <v>1550</v>
      </c>
      <c r="F295" s="137" t="s">
        <v>1551</v>
      </c>
      <c r="G295" s="138" t="s">
        <v>105</v>
      </c>
      <c r="H295" s="139">
        <f>H300</f>
        <v>541.33199999999999</v>
      </c>
      <c r="I295" s="90"/>
      <c r="J295" s="140">
        <f>ROUND(I295*H295,2)</f>
        <v>0</v>
      </c>
      <c r="K295" s="137"/>
      <c r="P295" s="1">
        <f>H295*0.001</f>
        <v>0.54133200000000004</v>
      </c>
    </row>
    <row r="296" spans="2:16" s="11" customFormat="1">
      <c r="B296" s="141"/>
      <c r="D296" s="142" t="s">
        <v>95</v>
      </c>
      <c r="E296" s="143" t="s">
        <v>2</v>
      </c>
      <c r="F296" s="144" t="s">
        <v>1554</v>
      </c>
      <c r="H296" s="145">
        <f>38.298</f>
        <v>38.298000000000002</v>
      </c>
      <c r="O296" s="1"/>
    </row>
    <row r="297" spans="2:16" s="11" customFormat="1">
      <c r="B297" s="141"/>
      <c r="D297" s="142" t="s">
        <v>95</v>
      </c>
      <c r="E297" s="143" t="s">
        <v>2</v>
      </c>
      <c r="F297" s="144" t="s">
        <v>2335</v>
      </c>
      <c r="H297" s="145">
        <f>347.37</f>
        <v>347.37</v>
      </c>
      <c r="O297" s="1"/>
    </row>
    <row r="298" spans="2:16" s="11" customFormat="1">
      <c r="B298" s="141"/>
      <c r="D298" s="142" t="s">
        <v>95</v>
      </c>
      <c r="E298" s="143" t="s">
        <v>2</v>
      </c>
      <c r="F298" s="144" t="s">
        <v>1553</v>
      </c>
      <c r="H298" s="145">
        <f>45.174</f>
        <v>45.173999999999999</v>
      </c>
      <c r="O298" s="1"/>
    </row>
    <row r="299" spans="2:16" s="11" customFormat="1">
      <c r="B299" s="141"/>
      <c r="D299" s="142" t="s">
        <v>95</v>
      </c>
      <c r="E299" s="143" t="s">
        <v>2</v>
      </c>
      <c r="F299" s="144" t="s">
        <v>1552</v>
      </c>
      <c r="H299" s="145">
        <f>110.49</f>
        <v>110.49</v>
      </c>
      <c r="O299" s="1"/>
    </row>
    <row r="300" spans="2:16" s="12" customFormat="1">
      <c r="B300" s="146"/>
      <c r="D300" s="142" t="s">
        <v>95</v>
      </c>
      <c r="E300" s="147" t="s">
        <v>2</v>
      </c>
      <c r="F300" s="148" t="s">
        <v>96</v>
      </c>
      <c r="H300" s="149">
        <f>SUM(H296:H299)</f>
        <v>541.33199999999999</v>
      </c>
      <c r="O300" s="1"/>
    </row>
    <row r="301" spans="2:16" s="1" customFormat="1" ht="22.5" customHeight="1">
      <c r="B301" s="39"/>
      <c r="C301" s="135">
        <f>C295+1</f>
        <v>27</v>
      </c>
      <c r="D301" s="135" t="s">
        <v>65</v>
      </c>
      <c r="E301" s="136" t="s">
        <v>1528</v>
      </c>
      <c r="F301" s="137" t="s">
        <v>1549</v>
      </c>
      <c r="G301" s="138" t="s">
        <v>155</v>
      </c>
      <c r="H301" s="139">
        <f>H307</f>
        <v>262.13</v>
      </c>
      <c r="I301" s="90"/>
      <c r="J301" s="140">
        <f>ROUND(I301*H301,2)</f>
        <v>0</v>
      </c>
      <c r="K301" s="137"/>
      <c r="P301" s="1">
        <f>H301*0.1*0.05*1.85</f>
        <v>2.4247025000000004</v>
      </c>
    </row>
    <row r="302" spans="2:16" s="11" customFormat="1">
      <c r="B302" s="141"/>
      <c r="D302" s="142" t="s">
        <v>95</v>
      </c>
      <c r="E302" s="143" t="s">
        <v>2</v>
      </c>
      <c r="F302" s="144" t="s">
        <v>1580</v>
      </c>
      <c r="H302" s="145">
        <f>(3.44*5)</f>
        <v>17.2</v>
      </c>
      <c r="O302" s="1"/>
    </row>
    <row r="303" spans="2:16" s="11" customFormat="1">
      <c r="B303" s="141"/>
      <c r="D303" s="142" t="s">
        <v>95</v>
      </c>
      <c r="E303" s="143" t="s">
        <v>2</v>
      </c>
      <c r="F303" s="144" t="s">
        <v>1581</v>
      </c>
      <c r="H303" s="145">
        <f>30</f>
        <v>30</v>
      </c>
      <c r="O303" s="1"/>
    </row>
    <row r="304" spans="2:16" s="11" customFormat="1">
      <c r="B304" s="141"/>
      <c r="D304" s="142" t="s">
        <v>95</v>
      </c>
      <c r="E304" s="143" t="s">
        <v>2</v>
      </c>
      <c r="F304" s="144" t="s">
        <v>1582</v>
      </c>
      <c r="H304" s="145">
        <f>4+5.88+9.95+5.88+4.12+2*2+1.76+2+0.34+2</f>
        <v>39.93</v>
      </c>
      <c r="O304" s="1"/>
    </row>
    <row r="305" spans="2:16" s="11" customFormat="1">
      <c r="B305" s="141"/>
      <c r="D305" s="142" t="s">
        <v>95</v>
      </c>
      <c r="E305" s="143" t="s">
        <v>2</v>
      </c>
      <c r="F305" s="144" t="s">
        <v>1583</v>
      </c>
      <c r="H305" s="145">
        <f>40*4</f>
        <v>160</v>
      </c>
      <c r="O305" s="1"/>
    </row>
    <row r="306" spans="2:16" s="11" customFormat="1">
      <c r="B306" s="141"/>
      <c r="D306" s="142" t="s">
        <v>95</v>
      </c>
      <c r="E306" s="143" t="s">
        <v>2</v>
      </c>
      <c r="F306" s="144" t="s">
        <v>1584</v>
      </c>
      <c r="H306" s="145">
        <f>15</f>
        <v>15</v>
      </c>
      <c r="O306" s="1"/>
    </row>
    <row r="307" spans="2:16" s="12" customFormat="1">
      <c r="B307" s="146"/>
      <c r="D307" s="142" t="s">
        <v>95</v>
      </c>
      <c r="E307" s="147" t="s">
        <v>2</v>
      </c>
      <c r="F307" s="148" t="s">
        <v>96</v>
      </c>
      <c r="H307" s="149">
        <f>SUM(H302:H306)</f>
        <v>262.13</v>
      </c>
      <c r="O307" s="1"/>
    </row>
    <row r="308" spans="2:16" s="1" customFormat="1" ht="22.5" customHeight="1">
      <c r="B308" s="39"/>
      <c r="C308" s="135">
        <f>C301+1</f>
        <v>28</v>
      </c>
      <c r="D308" s="135" t="s">
        <v>65</v>
      </c>
      <c r="E308" s="136" t="s">
        <v>153</v>
      </c>
      <c r="F308" s="137" t="s">
        <v>154</v>
      </c>
      <c r="G308" s="138" t="s">
        <v>155</v>
      </c>
      <c r="H308" s="139">
        <f>H313</f>
        <v>171.78999999999996</v>
      </c>
      <c r="I308" s="90"/>
      <c r="J308" s="140">
        <f>ROUND(I308*H308,2)</f>
        <v>0</v>
      </c>
      <c r="K308" s="137"/>
      <c r="P308" s="1">
        <f>H308*0.001</f>
        <v>0.17178999999999997</v>
      </c>
    </row>
    <row r="309" spans="2:16" s="11" customFormat="1">
      <c r="B309" s="141"/>
      <c r="D309" s="142" t="s">
        <v>95</v>
      </c>
      <c r="E309" s="143" t="s">
        <v>2</v>
      </c>
      <c r="F309" s="144" t="s">
        <v>1515</v>
      </c>
      <c r="H309" s="145">
        <f>(0.7+1.4+0.7+1.4)*2*4</f>
        <v>33.599999999999994</v>
      </c>
      <c r="O309" s="1"/>
    </row>
    <row r="310" spans="2:16" s="11" customFormat="1">
      <c r="B310" s="141"/>
      <c r="D310" s="142" t="s">
        <v>95</v>
      </c>
      <c r="E310" s="143" t="s">
        <v>2</v>
      </c>
      <c r="F310" s="144" t="s">
        <v>1516</v>
      </c>
      <c r="H310" s="145">
        <f>(2+1.1+2+1)*7</f>
        <v>42.699999999999996</v>
      </c>
      <c r="O310" s="1"/>
    </row>
    <row r="311" spans="2:16" s="11" customFormat="1">
      <c r="B311" s="141"/>
      <c r="D311" s="142" t="s">
        <v>95</v>
      </c>
      <c r="E311" s="143" t="s">
        <v>2</v>
      </c>
      <c r="F311" s="144" t="s">
        <v>2325</v>
      </c>
      <c r="H311" s="145">
        <f>(2.18+1.14+2.18)*2*4+(2.18)*2</f>
        <v>48.36</v>
      </c>
      <c r="O311" s="1"/>
    </row>
    <row r="312" spans="2:16" s="11" customFormat="1">
      <c r="B312" s="141"/>
      <c r="D312" s="142" t="s">
        <v>95</v>
      </c>
      <c r="E312" s="143" t="s">
        <v>2</v>
      </c>
      <c r="F312" s="144" t="s">
        <v>1514</v>
      </c>
      <c r="H312" s="145">
        <f>(2.59+2.675+2.59)*6</f>
        <v>47.129999999999995</v>
      </c>
      <c r="O312" s="1"/>
    </row>
    <row r="313" spans="2:16" s="12" customFormat="1">
      <c r="B313" s="146"/>
      <c r="D313" s="142" t="s">
        <v>95</v>
      </c>
      <c r="E313" s="147" t="s">
        <v>2</v>
      </c>
      <c r="F313" s="148" t="s">
        <v>96</v>
      </c>
      <c r="H313" s="149">
        <f>SUM(H309:H312)</f>
        <v>171.78999999999996</v>
      </c>
      <c r="O313" s="1"/>
    </row>
    <row r="314" spans="2:16" s="1" customFormat="1" ht="22.5" customHeight="1">
      <c r="B314" s="39"/>
      <c r="C314" s="150">
        <f>C308+1</f>
        <v>29</v>
      </c>
      <c r="D314" s="150" t="s">
        <v>123</v>
      </c>
      <c r="E314" s="151" t="s">
        <v>156</v>
      </c>
      <c r="F314" s="152" t="s">
        <v>157</v>
      </c>
      <c r="G314" s="153" t="s">
        <v>155</v>
      </c>
      <c r="H314" s="154">
        <f>H316</f>
        <v>188.96899999999997</v>
      </c>
      <c r="I314" s="91"/>
      <c r="J314" s="155">
        <f>ROUND(I314*H314,2)</f>
        <v>0</v>
      </c>
      <c r="K314" s="152"/>
      <c r="P314" s="1">
        <f>H314*0.001</f>
        <v>0.18896899999999997</v>
      </c>
    </row>
    <row r="315" spans="2:16" s="11" customFormat="1">
      <c r="B315" s="141"/>
      <c r="D315" s="142" t="s">
        <v>95</v>
      </c>
      <c r="F315" s="144" t="s">
        <v>2326</v>
      </c>
      <c r="H315" s="145">
        <f>H313*1.1</f>
        <v>188.96899999999997</v>
      </c>
      <c r="O315" s="1"/>
    </row>
    <row r="316" spans="2:16" s="12" customFormat="1">
      <c r="B316" s="146"/>
      <c r="D316" s="142" t="s">
        <v>95</v>
      </c>
      <c r="E316" s="147" t="s">
        <v>2</v>
      </c>
      <c r="F316" s="148" t="s">
        <v>96</v>
      </c>
      <c r="H316" s="149">
        <f>SUM(H315:H315)</f>
        <v>188.96899999999997</v>
      </c>
      <c r="O316" s="1"/>
    </row>
    <row r="317" spans="2:16" s="1" customFormat="1" ht="22.5" customHeight="1">
      <c r="B317" s="39"/>
      <c r="C317" s="135">
        <f>C314+1</f>
        <v>30</v>
      </c>
      <c r="D317" s="135" t="s">
        <v>65</v>
      </c>
      <c r="E317" s="136" t="s">
        <v>158</v>
      </c>
      <c r="F317" s="137" t="s">
        <v>1007</v>
      </c>
      <c r="G317" s="138" t="s">
        <v>155</v>
      </c>
      <c r="H317" s="139">
        <f>H320</f>
        <v>59.499999999999993</v>
      </c>
      <c r="I317" s="90"/>
      <c r="J317" s="140">
        <f>ROUND(I317*H317,2)</f>
        <v>0</v>
      </c>
      <c r="K317" s="137"/>
      <c r="P317" s="1">
        <f>H317*0.001</f>
        <v>5.9499999999999997E-2</v>
      </c>
    </row>
    <row r="318" spans="2:16" s="11" customFormat="1">
      <c r="B318" s="141"/>
      <c r="D318" s="142" t="s">
        <v>95</v>
      </c>
      <c r="E318" s="143" t="s">
        <v>2</v>
      </c>
      <c r="F318" s="144" t="s">
        <v>1008</v>
      </c>
      <c r="H318" s="145">
        <f>(0.7+1.4+0.7+1.4)*2*2</f>
        <v>16.799999999999997</v>
      </c>
      <c r="O318" s="1"/>
    </row>
    <row r="319" spans="2:16" s="11" customFormat="1">
      <c r="B319" s="141"/>
      <c r="D319" s="142" t="s">
        <v>95</v>
      </c>
      <c r="E319" s="143" t="s">
        <v>2</v>
      </c>
      <c r="F319" s="144" t="s">
        <v>1517</v>
      </c>
      <c r="H319" s="145">
        <f>(2+1.1+2+1)*7</f>
        <v>42.699999999999996</v>
      </c>
      <c r="O319" s="1"/>
    </row>
    <row r="320" spans="2:16" s="12" customFormat="1">
      <c r="B320" s="146"/>
      <c r="D320" s="142" t="s">
        <v>95</v>
      </c>
      <c r="E320" s="147" t="s">
        <v>2</v>
      </c>
      <c r="F320" s="148" t="s">
        <v>96</v>
      </c>
      <c r="H320" s="149">
        <f>SUM(H318:H319)</f>
        <v>59.499999999999993</v>
      </c>
      <c r="O320" s="1"/>
    </row>
    <row r="321" spans="2:16" s="1" customFormat="1" ht="22.5" customHeight="1">
      <c r="B321" s="39"/>
      <c r="C321" s="150">
        <f>C317+1</f>
        <v>31</v>
      </c>
      <c r="D321" s="150" t="s">
        <v>123</v>
      </c>
      <c r="E321" s="151" t="s">
        <v>159</v>
      </c>
      <c r="F321" s="152" t="s">
        <v>1006</v>
      </c>
      <c r="G321" s="153" t="s">
        <v>155</v>
      </c>
      <c r="H321" s="154">
        <f>H323</f>
        <v>65.45</v>
      </c>
      <c r="I321" s="91"/>
      <c r="J321" s="155">
        <f>ROUND(I321*H321,2)</f>
        <v>0</v>
      </c>
      <c r="K321" s="152"/>
      <c r="P321" s="1">
        <f>H321*0.001</f>
        <v>6.5450000000000008E-2</v>
      </c>
    </row>
    <row r="322" spans="2:16" s="11" customFormat="1">
      <c r="B322" s="141"/>
      <c r="D322" s="142" t="s">
        <v>95</v>
      </c>
      <c r="F322" s="144" t="s">
        <v>1518</v>
      </c>
      <c r="H322" s="145">
        <f>H320*1.1</f>
        <v>65.45</v>
      </c>
      <c r="O322" s="1"/>
    </row>
    <row r="323" spans="2:16" s="12" customFormat="1">
      <c r="B323" s="146"/>
      <c r="D323" s="142" t="s">
        <v>95</v>
      </c>
      <c r="E323" s="147" t="s">
        <v>2</v>
      </c>
      <c r="F323" s="148" t="s">
        <v>96</v>
      </c>
      <c r="H323" s="149">
        <f>SUM(H322:H322)</f>
        <v>65.45</v>
      </c>
      <c r="O323" s="1"/>
    </row>
    <row r="324" spans="2:16" s="1" customFormat="1" ht="22.5" customHeight="1">
      <c r="B324" s="39"/>
      <c r="C324" s="135">
        <f>C321+1</f>
        <v>32</v>
      </c>
      <c r="D324" s="135" t="s">
        <v>65</v>
      </c>
      <c r="E324" s="136" t="s">
        <v>162</v>
      </c>
      <c r="F324" s="137" t="s">
        <v>1010</v>
      </c>
      <c r="G324" s="138" t="s">
        <v>155</v>
      </c>
      <c r="H324" s="139">
        <f>H328</f>
        <v>25.28</v>
      </c>
      <c r="I324" s="90"/>
      <c r="J324" s="140">
        <f>ROUND(I324*H324,2)</f>
        <v>0</v>
      </c>
      <c r="K324" s="137"/>
      <c r="P324" s="1">
        <f>H324*0.001</f>
        <v>2.528E-2</v>
      </c>
    </row>
    <row r="325" spans="2:16" s="11" customFormat="1">
      <c r="B325" s="141"/>
      <c r="D325" s="142" t="s">
        <v>95</v>
      </c>
      <c r="E325" s="143" t="s">
        <v>2</v>
      </c>
      <c r="F325" s="144" t="s">
        <v>1011</v>
      </c>
      <c r="H325" s="145">
        <f>0.7*2*2</f>
        <v>2.8</v>
      </c>
      <c r="O325" s="1"/>
    </row>
    <row r="326" spans="2:16" s="11" customFormat="1">
      <c r="B326" s="141"/>
      <c r="D326" s="142" t="s">
        <v>95</v>
      </c>
      <c r="E326" s="143" t="s">
        <v>2</v>
      </c>
      <c r="F326" s="144" t="s">
        <v>1519</v>
      </c>
      <c r="H326" s="145">
        <f>1*2*7</f>
        <v>14</v>
      </c>
      <c r="O326" s="1"/>
    </row>
    <row r="327" spans="2:16" s="11" customFormat="1">
      <c r="B327" s="141"/>
      <c r="D327" s="142" t="s">
        <v>95</v>
      </c>
      <c r="E327" s="143" t="s">
        <v>2</v>
      </c>
      <c r="F327" s="144" t="s">
        <v>1520</v>
      </c>
      <c r="H327" s="145">
        <f>0.6*1+1.25*2+1.21*1+1.16*1+0.89*1+1.22*1+0.9*1</f>
        <v>8.48</v>
      </c>
      <c r="O327" s="1"/>
    </row>
    <row r="328" spans="2:16" s="12" customFormat="1">
      <c r="B328" s="146"/>
      <c r="D328" s="142" t="s">
        <v>95</v>
      </c>
      <c r="E328" s="147" t="s">
        <v>2</v>
      </c>
      <c r="F328" s="148" t="s">
        <v>96</v>
      </c>
      <c r="H328" s="149">
        <f>SUM(H325:H327)</f>
        <v>25.28</v>
      </c>
      <c r="O328" s="1"/>
    </row>
    <row r="329" spans="2:16" s="1" customFormat="1" ht="22.5" customHeight="1">
      <c r="B329" s="39"/>
      <c r="C329" s="150">
        <f>C324+1</f>
        <v>33</v>
      </c>
      <c r="D329" s="150" t="s">
        <v>123</v>
      </c>
      <c r="E329" s="151" t="s">
        <v>163</v>
      </c>
      <c r="F329" s="152" t="s">
        <v>1012</v>
      </c>
      <c r="G329" s="153" t="s">
        <v>155</v>
      </c>
      <c r="H329" s="154">
        <f>H331</f>
        <v>27.808000000000003</v>
      </c>
      <c r="I329" s="91"/>
      <c r="J329" s="155">
        <f>ROUND(I329*H329,2)</f>
        <v>0</v>
      </c>
      <c r="K329" s="152"/>
      <c r="P329" s="1">
        <f>H329*0.001</f>
        <v>2.7808000000000003E-2</v>
      </c>
    </row>
    <row r="330" spans="2:16" s="11" customFormat="1">
      <c r="B330" s="141"/>
      <c r="D330" s="142" t="s">
        <v>95</v>
      </c>
      <c r="F330" s="144" t="s">
        <v>1521</v>
      </c>
      <c r="H330" s="145">
        <f>25.28*1.1</f>
        <v>27.808000000000003</v>
      </c>
      <c r="O330" s="1"/>
    </row>
    <row r="331" spans="2:16" s="12" customFormat="1">
      <c r="B331" s="146"/>
      <c r="D331" s="142" t="s">
        <v>95</v>
      </c>
      <c r="E331" s="147" t="s">
        <v>2</v>
      </c>
      <c r="F331" s="148" t="s">
        <v>96</v>
      </c>
      <c r="H331" s="149">
        <f>SUM(H330:H330)</f>
        <v>27.808000000000003</v>
      </c>
      <c r="O331" s="1"/>
    </row>
    <row r="332" spans="2:16" s="1" customFormat="1" ht="22.15" customHeight="1">
      <c r="B332" s="39"/>
      <c r="C332" s="135">
        <f>C329+1</f>
        <v>34</v>
      </c>
      <c r="D332" s="135" t="s">
        <v>65</v>
      </c>
      <c r="E332" s="136" t="s">
        <v>149</v>
      </c>
      <c r="F332" s="137" t="s">
        <v>150</v>
      </c>
      <c r="G332" s="138" t="s">
        <v>105</v>
      </c>
      <c r="H332" s="139">
        <f>H337</f>
        <v>70.336399999999998</v>
      </c>
      <c r="I332" s="90"/>
      <c r="J332" s="140">
        <f>ROUND(I332*H332,2)</f>
        <v>0</v>
      </c>
      <c r="K332" s="137"/>
      <c r="P332" s="1">
        <f>H332*0.0001</f>
        <v>7.0336399999999999E-3</v>
      </c>
    </row>
    <row r="333" spans="2:16" s="11" customFormat="1">
      <c r="B333" s="141"/>
      <c r="D333" s="142" t="s">
        <v>95</v>
      </c>
      <c r="E333" s="143" t="s">
        <v>2</v>
      </c>
      <c r="F333" s="144" t="s">
        <v>998</v>
      </c>
      <c r="H333" s="145">
        <f>((2.18*1.14)*4)*2</f>
        <v>19.881599999999999</v>
      </c>
      <c r="O333" s="1"/>
    </row>
    <row r="334" spans="2:16" s="11" customFormat="1" ht="27">
      <c r="B334" s="141"/>
      <c r="D334" s="142" t="s">
        <v>95</v>
      </c>
      <c r="E334" s="143" t="s">
        <v>2</v>
      </c>
      <c r="F334" s="144" t="s">
        <v>1523</v>
      </c>
      <c r="H334" s="145">
        <f>(0.6*1.97)*1+(1.25*1.97)*1+(1.21*2.34)*1+(1.16*2.3)*1+(0.89*2.19)*1+(1.25*2.3)*1+(1.22*2.29)*1+(0.9*1.97)*1</f>
        <v>18.534799999999997</v>
      </c>
      <c r="O334" s="1"/>
    </row>
    <row r="335" spans="2:16" s="11" customFormat="1">
      <c r="B335" s="141"/>
      <c r="D335" s="142" t="s">
        <v>95</v>
      </c>
      <c r="E335" s="143" t="s">
        <v>2</v>
      </c>
      <c r="F335" s="144" t="s">
        <v>1013</v>
      </c>
      <c r="H335" s="145">
        <f>((0.7*1.4)*2)*2</f>
        <v>3.9199999999999995</v>
      </c>
      <c r="O335" s="1"/>
    </row>
    <row r="336" spans="2:16" s="11" customFormat="1">
      <c r="B336" s="141"/>
      <c r="D336" s="142" t="s">
        <v>95</v>
      </c>
      <c r="E336" s="143" t="s">
        <v>2</v>
      </c>
      <c r="F336" s="144" t="s">
        <v>1522</v>
      </c>
      <c r="H336" s="145">
        <f>((1*2)*2)*7</f>
        <v>28</v>
      </c>
      <c r="O336" s="1"/>
    </row>
    <row r="337" spans="2:16" s="12" customFormat="1">
      <c r="B337" s="146"/>
      <c r="D337" s="142" t="s">
        <v>95</v>
      </c>
      <c r="E337" s="147" t="s">
        <v>2</v>
      </c>
      <c r="F337" s="148" t="s">
        <v>96</v>
      </c>
      <c r="H337" s="149">
        <f>SUM(H333:H336)</f>
        <v>70.336399999999998</v>
      </c>
      <c r="O337" s="1"/>
    </row>
    <row r="338" spans="2:16" s="1" customFormat="1" ht="31.5" customHeight="1">
      <c r="B338" s="39"/>
      <c r="C338" s="135">
        <f>C332+1</f>
        <v>35</v>
      </c>
      <c r="D338" s="135" t="s">
        <v>65</v>
      </c>
      <c r="E338" s="136" t="s">
        <v>164</v>
      </c>
      <c r="F338" s="137" t="s">
        <v>1529</v>
      </c>
      <c r="G338" s="138" t="s">
        <v>94</v>
      </c>
      <c r="H338" s="139">
        <f>H348</f>
        <v>4.7712000000000003</v>
      </c>
      <c r="I338" s="90"/>
      <c r="J338" s="140">
        <f>ROUND(I338*H338,2)</f>
        <v>0</v>
      </c>
      <c r="K338" s="137"/>
      <c r="P338" s="1">
        <f>H338*2.45</f>
        <v>11.689440000000001</v>
      </c>
    </row>
    <row r="339" spans="2:16" s="11" customFormat="1">
      <c r="B339" s="141"/>
      <c r="D339" s="142" t="s">
        <v>95</v>
      </c>
      <c r="E339" s="143" t="s">
        <v>2</v>
      </c>
      <c r="F339" s="144" t="s">
        <v>1530</v>
      </c>
      <c r="H339" s="145">
        <f>6.898*0.1</f>
        <v>0.68979999999999997</v>
      </c>
      <c r="O339" s="1"/>
    </row>
    <row r="340" spans="2:16" s="11" customFormat="1">
      <c r="B340" s="141"/>
      <c r="D340" s="142" t="s">
        <v>95</v>
      </c>
      <c r="E340" s="143" t="s">
        <v>2</v>
      </c>
      <c r="F340" s="144" t="s">
        <v>1531</v>
      </c>
      <c r="H340" s="145">
        <f>4.074*0.1</f>
        <v>0.40739999999999998</v>
      </c>
      <c r="O340" s="1"/>
    </row>
    <row r="341" spans="2:16" s="11" customFormat="1">
      <c r="B341" s="141"/>
      <c r="D341" s="142" t="s">
        <v>95</v>
      </c>
      <c r="E341" s="143" t="s">
        <v>2</v>
      </c>
      <c r="F341" s="144" t="s">
        <v>1532</v>
      </c>
      <c r="H341" s="145">
        <f>1.395*0.1</f>
        <v>0.13950000000000001</v>
      </c>
      <c r="O341" s="1"/>
    </row>
    <row r="342" spans="2:16" s="11" customFormat="1">
      <c r="B342" s="141"/>
      <c r="D342" s="142" t="s">
        <v>95</v>
      </c>
      <c r="E342" s="143" t="s">
        <v>2</v>
      </c>
      <c r="F342" s="144" t="s">
        <v>2327</v>
      </c>
      <c r="H342" s="145">
        <f>1.395*0.1</f>
        <v>0.13950000000000001</v>
      </c>
      <c r="O342" s="1"/>
    </row>
    <row r="343" spans="2:16" s="11" customFormat="1">
      <c r="B343" s="141"/>
      <c r="D343" s="142" t="s">
        <v>95</v>
      </c>
      <c r="E343" s="143" t="s">
        <v>2</v>
      </c>
      <c r="F343" s="144" t="s">
        <v>1533</v>
      </c>
      <c r="H343" s="145">
        <f>4.245*0.1</f>
        <v>0.42450000000000004</v>
      </c>
      <c r="O343" s="1"/>
    </row>
    <row r="344" spans="2:16" s="11" customFormat="1">
      <c r="B344" s="141"/>
      <c r="D344" s="142" t="s">
        <v>95</v>
      </c>
      <c r="E344" s="143" t="s">
        <v>2</v>
      </c>
      <c r="F344" s="144" t="s">
        <v>1534</v>
      </c>
      <c r="H344" s="145">
        <f>14.712*0.1</f>
        <v>1.4712000000000001</v>
      </c>
      <c r="O344" s="1"/>
    </row>
    <row r="345" spans="2:16" s="11" customFormat="1">
      <c r="B345" s="141"/>
      <c r="D345" s="142" t="s">
        <v>95</v>
      </c>
      <c r="E345" s="143" t="s">
        <v>2</v>
      </c>
      <c r="F345" s="144" t="s">
        <v>1535</v>
      </c>
      <c r="H345" s="145">
        <f>7.503*0.1</f>
        <v>0.75030000000000008</v>
      </c>
      <c r="O345" s="1"/>
    </row>
    <row r="346" spans="2:16" s="11" customFormat="1">
      <c r="B346" s="141"/>
      <c r="D346" s="142" t="s">
        <v>95</v>
      </c>
      <c r="E346" s="143" t="s">
        <v>2</v>
      </c>
      <c r="F346" s="144" t="s">
        <v>1536</v>
      </c>
      <c r="H346" s="145">
        <f>2.666*0.1</f>
        <v>0.2666</v>
      </c>
      <c r="O346" s="1"/>
    </row>
    <row r="347" spans="2:16" s="11" customFormat="1">
      <c r="B347" s="141"/>
      <c r="D347" s="142" t="s">
        <v>95</v>
      </c>
      <c r="E347" s="143" t="s">
        <v>2</v>
      </c>
      <c r="F347" s="144" t="s">
        <v>1537</v>
      </c>
      <c r="H347" s="145">
        <f>4.824*0.1</f>
        <v>0.4824</v>
      </c>
      <c r="O347" s="1"/>
    </row>
    <row r="348" spans="2:16" s="12" customFormat="1">
      <c r="B348" s="146"/>
      <c r="D348" s="142" t="s">
        <v>95</v>
      </c>
      <c r="E348" s="342" t="s">
        <v>2</v>
      </c>
      <c r="F348" s="343" t="s">
        <v>96</v>
      </c>
      <c r="H348" s="149">
        <f>SUM(H339:H347)</f>
        <v>4.7712000000000003</v>
      </c>
      <c r="O348" s="1"/>
    </row>
    <row r="349" spans="2:16" s="1" customFormat="1" ht="31.5" customHeight="1">
      <c r="B349" s="39"/>
      <c r="C349" s="135">
        <f>C338+1</f>
        <v>36</v>
      </c>
      <c r="D349" s="135" t="s">
        <v>65</v>
      </c>
      <c r="E349" s="136" t="s">
        <v>1538</v>
      </c>
      <c r="F349" s="137" t="s">
        <v>1539</v>
      </c>
      <c r="G349" s="138" t="s">
        <v>94</v>
      </c>
      <c r="H349" s="139">
        <f>H359</f>
        <v>4.7712000000000003</v>
      </c>
      <c r="I349" s="90"/>
      <c r="J349" s="140">
        <f>ROUND(I349*H349,2)</f>
        <v>0</v>
      </c>
      <c r="K349" s="137"/>
      <c r="P349" s="1">
        <f>H349*0.245</f>
        <v>1.168944</v>
      </c>
    </row>
    <row r="350" spans="2:16" s="11" customFormat="1">
      <c r="B350" s="141"/>
      <c r="D350" s="142" t="s">
        <v>95</v>
      </c>
      <c r="E350" s="143" t="s">
        <v>2</v>
      </c>
      <c r="F350" s="144" t="s">
        <v>1530</v>
      </c>
      <c r="H350" s="145">
        <f>6.898*0.1</f>
        <v>0.68979999999999997</v>
      </c>
      <c r="O350" s="1"/>
    </row>
    <row r="351" spans="2:16" s="11" customFormat="1">
      <c r="B351" s="141"/>
      <c r="D351" s="142" t="s">
        <v>95</v>
      </c>
      <c r="E351" s="143" t="s">
        <v>2</v>
      </c>
      <c r="F351" s="144" t="s">
        <v>1531</v>
      </c>
      <c r="H351" s="145">
        <f>4.074*0.1</f>
        <v>0.40739999999999998</v>
      </c>
      <c r="O351" s="1"/>
    </row>
    <row r="352" spans="2:16" s="11" customFormat="1">
      <c r="B352" s="141"/>
      <c r="D352" s="142" t="s">
        <v>95</v>
      </c>
      <c r="E352" s="143" t="s">
        <v>2</v>
      </c>
      <c r="F352" s="144" t="s">
        <v>1532</v>
      </c>
      <c r="H352" s="145">
        <f>1.395*0.1</f>
        <v>0.13950000000000001</v>
      </c>
      <c r="O352" s="1"/>
    </row>
    <row r="353" spans="2:16" s="11" customFormat="1">
      <c r="B353" s="141"/>
      <c r="D353" s="142" t="s">
        <v>95</v>
      </c>
      <c r="E353" s="143" t="s">
        <v>2</v>
      </c>
      <c r="F353" s="144" t="s">
        <v>2327</v>
      </c>
      <c r="H353" s="145">
        <f>1.395*0.1</f>
        <v>0.13950000000000001</v>
      </c>
      <c r="O353" s="1"/>
    </row>
    <row r="354" spans="2:16" s="11" customFormat="1">
      <c r="B354" s="141"/>
      <c r="D354" s="142" t="s">
        <v>95</v>
      </c>
      <c r="E354" s="143" t="s">
        <v>2</v>
      </c>
      <c r="F354" s="144" t="s">
        <v>1533</v>
      </c>
      <c r="H354" s="145">
        <f>4.245*0.1</f>
        <v>0.42450000000000004</v>
      </c>
      <c r="O354" s="1"/>
    </row>
    <row r="355" spans="2:16" s="11" customFormat="1">
      <c r="B355" s="141"/>
      <c r="D355" s="142" t="s">
        <v>95</v>
      </c>
      <c r="E355" s="143" t="s">
        <v>2</v>
      </c>
      <c r="F355" s="144" t="s">
        <v>1534</v>
      </c>
      <c r="H355" s="145">
        <f>14.712*0.1</f>
        <v>1.4712000000000001</v>
      </c>
      <c r="O355" s="1"/>
    </row>
    <row r="356" spans="2:16" s="11" customFormat="1">
      <c r="B356" s="141"/>
      <c r="D356" s="142" t="s">
        <v>95</v>
      </c>
      <c r="E356" s="143" t="s">
        <v>2</v>
      </c>
      <c r="F356" s="144" t="s">
        <v>1535</v>
      </c>
      <c r="H356" s="145">
        <f>7.503*0.1</f>
        <v>0.75030000000000008</v>
      </c>
      <c r="O356" s="1"/>
    </row>
    <row r="357" spans="2:16" s="11" customFormat="1">
      <c r="B357" s="141"/>
      <c r="D357" s="142" t="s">
        <v>95</v>
      </c>
      <c r="E357" s="143" t="s">
        <v>2</v>
      </c>
      <c r="F357" s="144" t="s">
        <v>1536</v>
      </c>
      <c r="H357" s="145">
        <f>2.666*0.1</f>
        <v>0.2666</v>
      </c>
      <c r="O357" s="1"/>
    </row>
    <row r="358" spans="2:16" s="11" customFormat="1">
      <c r="B358" s="141"/>
      <c r="D358" s="142" t="s">
        <v>95</v>
      </c>
      <c r="E358" s="143" t="s">
        <v>2</v>
      </c>
      <c r="F358" s="144" t="s">
        <v>1537</v>
      </c>
      <c r="H358" s="145">
        <f>4.824*0.1</f>
        <v>0.4824</v>
      </c>
      <c r="O358" s="1"/>
    </row>
    <row r="359" spans="2:16" s="12" customFormat="1">
      <c r="B359" s="146"/>
      <c r="D359" s="142" t="s">
        <v>95</v>
      </c>
      <c r="E359" s="342" t="s">
        <v>2</v>
      </c>
      <c r="F359" s="343" t="s">
        <v>96</v>
      </c>
      <c r="H359" s="149">
        <f>SUM(H350:H358)</f>
        <v>4.7712000000000003</v>
      </c>
      <c r="O359" s="1"/>
    </row>
    <row r="360" spans="2:16" s="1" customFormat="1" ht="34.9" customHeight="1">
      <c r="B360" s="39"/>
      <c r="C360" s="135">
        <f>C349+1</f>
        <v>37</v>
      </c>
      <c r="D360" s="135" t="s">
        <v>65</v>
      </c>
      <c r="E360" s="136" t="s">
        <v>173</v>
      </c>
      <c r="F360" s="137" t="s">
        <v>174</v>
      </c>
      <c r="G360" s="138" t="s">
        <v>101</v>
      </c>
      <c r="H360" s="139">
        <f>H362</f>
        <v>0.14313600000000001</v>
      </c>
      <c r="I360" s="90"/>
      <c r="J360" s="140">
        <f>ROUND(I360*H360,2)</f>
        <v>0</v>
      </c>
      <c r="K360" s="137"/>
      <c r="P360" s="303">
        <f>H360</f>
        <v>0.14313600000000001</v>
      </c>
    </row>
    <row r="361" spans="2:16" s="11" customFormat="1">
      <c r="B361" s="141"/>
      <c r="D361" s="142" t="s">
        <v>95</v>
      </c>
      <c r="E361" s="143" t="s">
        <v>2</v>
      </c>
      <c r="F361" s="144" t="s">
        <v>2328</v>
      </c>
      <c r="H361" s="145">
        <f>(47.712*0.002)*1.5</f>
        <v>0.14313600000000001</v>
      </c>
      <c r="O361" s="1"/>
    </row>
    <row r="362" spans="2:16" s="12" customFormat="1">
      <c r="B362" s="146"/>
      <c r="D362" s="142" t="s">
        <v>95</v>
      </c>
      <c r="E362" s="342" t="s">
        <v>2</v>
      </c>
      <c r="F362" s="343" t="s">
        <v>96</v>
      </c>
      <c r="H362" s="149">
        <f>SUM(H361:H361)</f>
        <v>0.14313600000000001</v>
      </c>
      <c r="O362" s="1"/>
    </row>
    <row r="363" spans="2:16" s="1" customFormat="1" ht="22.5" customHeight="1">
      <c r="B363" s="39"/>
      <c r="C363" s="135">
        <f>C360+1</f>
        <v>38</v>
      </c>
      <c r="D363" s="135" t="s">
        <v>65</v>
      </c>
      <c r="E363" s="136" t="s">
        <v>169</v>
      </c>
      <c r="F363" s="137" t="s">
        <v>170</v>
      </c>
      <c r="G363" s="138" t="s">
        <v>105</v>
      </c>
      <c r="H363" s="139">
        <f>H365</f>
        <v>8</v>
      </c>
      <c r="I363" s="90"/>
      <c r="J363" s="140">
        <f>ROUND(I363*H363,2)</f>
        <v>0</v>
      </c>
      <c r="K363" s="137"/>
      <c r="P363" s="1">
        <f>H363*0.05</f>
        <v>0.4</v>
      </c>
    </row>
    <row r="364" spans="2:16" s="11" customFormat="1">
      <c r="B364" s="141"/>
      <c r="D364" s="142" t="s">
        <v>95</v>
      </c>
      <c r="E364" s="143" t="s">
        <v>2</v>
      </c>
      <c r="F364" s="144" t="s">
        <v>1540</v>
      </c>
      <c r="H364" s="145">
        <f>2+4+2</f>
        <v>8</v>
      </c>
      <c r="O364" s="1"/>
    </row>
    <row r="365" spans="2:16" s="12" customFormat="1">
      <c r="B365" s="146"/>
      <c r="D365" s="142" t="s">
        <v>95</v>
      </c>
      <c r="E365" s="342" t="s">
        <v>2</v>
      </c>
      <c r="F365" s="343" t="s">
        <v>96</v>
      </c>
      <c r="H365" s="149">
        <f>SUM(H364:H364)</f>
        <v>8</v>
      </c>
      <c r="O365" s="1"/>
    </row>
    <row r="366" spans="2:16" s="1" customFormat="1" ht="22.5" customHeight="1">
      <c r="B366" s="39"/>
      <c r="C366" s="135">
        <f>C363+1</f>
        <v>39</v>
      </c>
      <c r="D366" s="135" t="s">
        <v>65</v>
      </c>
      <c r="E366" s="136" t="s">
        <v>171</v>
      </c>
      <c r="F366" s="137" t="s">
        <v>172</v>
      </c>
      <c r="G366" s="138" t="s">
        <v>105</v>
      </c>
      <c r="H366" s="139">
        <f>H368</f>
        <v>8</v>
      </c>
      <c r="I366" s="90"/>
      <c r="J366" s="140">
        <f>ROUND(I366*H366,2)</f>
        <v>0</v>
      </c>
      <c r="K366" s="137"/>
      <c r="P366" s="1">
        <f>H366*0.05</f>
        <v>0.4</v>
      </c>
    </row>
    <row r="367" spans="2:16" s="11" customFormat="1">
      <c r="B367" s="141"/>
      <c r="D367" s="142" t="s">
        <v>95</v>
      </c>
      <c r="E367" s="143" t="s">
        <v>2</v>
      </c>
      <c r="F367" s="144" t="s">
        <v>1540</v>
      </c>
      <c r="H367" s="145">
        <f>2+4+2</f>
        <v>8</v>
      </c>
      <c r="O367" s="1"/>
    </row>
    <row r="368" spans="2:16" s="12" customFormat="1">
      <c r="B368" s="146"/>
      <c r="D368" s="142" t="s">
        <v>95</v>
      </c>
      <c r="E368" s="342" t="s">
        <v>2</v>
      </c>
      <c r="F368" s="343" t="s">
        <v>96</v>
      </c>
      <c r="H368" s="149">
        <f>SUM(H367:H367)</f>
        <v>8</v>
      </c>
      <c r="O368" s="1"/>
    </row>
    <row r="369" spans="2:16" s="1" customFormat="1" ht="22.5" customHeight="1">
      <c r="B369" s="39"/>
      <c r="C369" s="135">
        <f>C366+1</f>
        <v>40</v>
      </c>
      <c r="D369" s="135" t="s">
        <v>65</v>
      </c>
      <c r="E369" s="136" t="s">
        <v>2041</v>
      </c>
      <c r="F369" s="137" t="s">
        <v>2042</v>
      </c>
      <c r="G369" s="138" t="s">
        <v>105</v>
      </c>
      <c r="H369" s="139">
        <f>H372</f>
        <v>0.77</v>
      </c>
      <c r="I369" s="90"/>
      <c r="J369" s="140">
        <f>ROUND(I369*H369,2)</f>
        <v>0</v>
      </c>
      <c r="K369" s="137"/>
      <c r="P369" s="1">
        <f>H369*0.04*2.125</f>
        <v>6.5450000000000008E-2</v>
      </c>
    </row>
    <row r="370" spans="2:16" s="11" customFormat="1">
      <c r="B370" s="141"/>
      <c r="D370" s="142" t="s">
        <v>95</v>
      </c>
      <c r="E370" s="143" t="s">
        <v>2</v>
      </c>
      <c r="F370" s="144" t="s">
        <v>2047</v>
      </c>
      <c r="H370" s="145">
        <f>(0.7*0.6)</f>
        <v>0.42</v>
      </c>
      <c r="O370" s="1"/>
    </row>
    <row r="371" spans="2:16" s="11" customFormat="1">
      <c r="B371" s="141"/>
      <c r="D371" s="142" t="s">
        <v>95</v>
      </c>
      <c r="E371" s="143" t="s">
        <v>2</v>
      </c>
      <c r="F371" s="144" t="s">
        <v>2048</v>
      </c>
      <c r="H371" s="145">
        <f>(0.7*0.5)</f>
        <v>0.35</v>
      </c>
      <c r="O371" s="1"/>
    </row>
    <row r="372" spans="2:16" s="12" customFormat="1">
      <c r="B372" s="146"/>
      <c r="D372" s="142" t="s">
        <v>95</v>
      </c>
      <c r="E372" s="342" t="s">
        <v>2</v>
      </c>
      <c r="F372" s="343" t="s">
        <v>96</v>
      </c>
      <c r="H372" s="149">
        <f>SUM(H370:H371)</f>
        <v>0.77</v>
      </c>
      <c r="O372" s="1"/>
    </row>
    <row r="373" spans="2:16" s="1" customFormat="1" ht="22.5" customHeight="1">
      <c r="B373" s="39"/>
      <c r="C373" s="135">
        <f>C369+1</f>
        <v>41</v>
      </c>
      <c r="D373" s="135" t="s">
        <v>65</v>
      </c>
      <c r="E373" s="136" t="s">
        <v>175</v>
      </c>
      <c r="F373" s="137" t="s">
        <v>176</v>
      </c>
      <c r="G373" s="138" t="s">
        <v>105</v>
      </c>
      <c r="H373" s="139">
        <f>H383</f>
        <v>47.711999999999989</v>
      </c>
      <c r="I373" s="90"/>
      <c r="J373" s="140">
        <f>ROUND(I373*H373,2)</f>
        <v>0</v>
      </c>
      <c r="K373" s="137"/>
      <c r="P373" s="1">
        <f>H373*0.04*2.125</f>
        <v>4.0555199999999987</v>
      </c>
    </row>
    <row r="374" spans="2:16" s="11" customFormat="1">
      <c r="B374" s="141"/>
      <c r="D374" s="142" t="s">
        <v>95</v>
      </c>
      <c r="E374" s="143" t="s">
        <v>2</v>
      </c>
      <c r="F374" s="144" t="s">
        <v>2151</v>
      </c>
      <c r="H374" s="145">
        <f>6.898</f>
        <v>6.8979999999999997</v>
      </c>
      <c r="O374" s="1"/>
    </row>
    <row r="375" spans="2:16" s="11" customFormat="1">
      <c r="B375" s="141"/>
      <c r="D375" s="142" t="s">
        <v>95</v>
      </c>
      <c r="E375" s="143" t="s">
        <v>2</v>
      </c>
      <c r="F375" s="144" t="s">
        <v>2152</v>
      </c>
      <c r="H375" s="145">
        <f>4.074</f>
        <v>4.0739999999999998</v>
      </c>
      <c r="O375" s="1"/>
    </row>
    <row r="376" spans="2:16" s="11" customFormat="1">
      <c r="B376" s="141"/>
      <c r="D376" s="142" t="s">
        <v>95</v>
      </c>
      <c r="E376" s="143" t="s">
        <v>2</v>
      </c>
      <c r="F376" s="144" t="s">
        <v>2153</v>
      </c>
      <c r="H376" s="145">
        <f>1.395</f>
        <v>1.395</v>
      </c>
      <c r="O376" s="1"/>
    </row>
    <row r="377" spans="2:16" s="11" customFormat="1">
      <c r="B377" s="141"/>
      <c r="D377" s="142" t="s">
        <v>95</v>
      </c>
      <c r="E377" s="143" t="s">
        <v>2</v>
      </c>
      <c r="F377" s="144" t="s">
        <v>2330</v>
      </c>
      <c r="H377" s="145">
        <f>1.395</f>
        <v>1.395</v>
      </c>
      <c r="O377" s="1"/>
    </row>
    <row r="378" spans="2:16" s="11" customFormat="1">
      <c r="B378" s="141"/>
      <c r="D378" s="142" t="s">
        <v>95</v>
      </c>
      <c r="E378" s="143" t="s">
        <v>2</v>
      </c>
      <c r="F378" s="144" t="s">
        <v>2154</v>
      </c>
      <c r="H378" s="145">
        <f>4.245</f>
        <v>4.2450000000000001</v>
      </c>
      <c r="O378" s="1"/>
    </row>
    <row r="379" spans="2:16" s="11" customFormat="1">
      <c r="B379" s="141"/>
      <c r="D379" s="142" t="s">
        <v>95</v>
      </c>
      <c r="E379" s="143" t="s">
        <v>2</v>
      </c>
      <c r="F379" s="144" t="s">
        <v>2155</v>
      </c>
      <c r="H379" s="145">
        <f>14.712</f>
        <v>14.712</v>
      </c>
      <c r="O379" s="1"/>
    </row>
    <row r="380" spans="2:16" s="11" customFormat="1">
      <c r="B380" s="141"/>
      <c r="D380" s="142" t="s">
        <v>95</v>
      </c>
      <c r="E380" s="143" t="s">
        <v>2</v>
      </c>
      <c r="F380" s="144" t="s">
        <v>2156</v>
      </c>
      <c r="H380" s="145">
        <f>7.503</f>
        <v>7.5030000000000001</v>
      </c>
      <c r="O380" s="1"/>
    </row>
    <row r="381" spans="2:16" s="11" customFormat="1">
      <c r="B381" s="141"/>
      <c r="D381" s="142" t="s">
        <v>95</v>
      </c>
      <c r="E381" s="143" t="s">
        <v>2</v>
      </c>
      <c r="F381" s="144" t="s">
        <v>2157</v>
      </c>
      <c r="H381" s="145">
        <f>2.666</f>
        <v>2.6659999999999999</v>
      </c>
      <c r="O381" s="1"/>
    </row>
    <row r="382" spans="2:16" s="11" customFormat="1">
      <c r="B382" s="141"/>
      <c r="D382" s="142" t="s">
        <v>95</v>
      </c>
      <c r="E382" s="143" t="s">
        <v>2</v>
      </c>
      <c r="F382" s="144" t="s">
        <v>2158</v>
      </c>
      <c r="H382" s="145">
        <f>4.824</f>
        <v>4.8239999999999998</v>
      </c>
      <c r="O382" s="1"/>
    </row>
    <row r="383" spans="2:16" s="12" customFormat="1">
      <c r="B383" s="146"/>
      <c r="D383" s="142" t="s">
        <v>95</v>
      </c>
      <c r="E383" s="342" t="s">
        <v>2</v>
      </c>
      <c r="F383" s="343" t="s">
        <v>96</v>
      </c>
      <c r="H383" s="149">
        <f>SUM(H374:H382)</f>
        <v>47.711999999999989</v>
      </c>
      <c r="O383" s="1"/>
    </row>
    <row r="384" spans="2:16" s="1" customFormat="1" ht="22.5" customHeight="1">
      <c r="B384" s="39"/>
      <c r="C384" s="135">
        <f>C373+1</f>
        <v>42</v>
      </c>
      <c r="D384" s="135" t="s">
        <v>65</v>
      </c>
      <c r="E384" s="136" t="s">
        <v>177</v>
      </c>
      <c r="F384" s="137" t="s">
        <v>178</v>
      </c>
      <c r="G384" s="138" t="s">
        <v>155</v>
      </c>
      <c r="H384" s="139">
        <f>H393</f>
        <v>205.63509999999997</v>
      </c>
      <c r="I384" s="90"/>
      <c r="J384" s="140">
        <f>ROUND(I384*H384,2)</f>
        <v>0</v>
      </c>
      <c r="K384" s="137"/>
      <c r="P384" s="1">
        <f>H384*0.001</f>
        <v>0.20563509999999996</v>
      </c>
    </row>
    <row r="385" spans="2:16" s="11" customFormat="1" ht="27">
      <c r="B385" s="141"/>
      <c r="D385" s="142" t="s">
        <v>95</v>
      </c>
      <c r="E385" s="143" t="s">
        <v>2</v>
      </c>
      <c r="F385" s="144" t="s">
        <v>1471</v>
      </c>
      <c r="H385" s="145">
        <f>(0.1+0.2+1.525+0.59+0.2+1.11+0.51+0.2+3.09+1.9+0.885+0.2+0.1)*(3.06-0.1)-(1.525+0.59+0.2)*1.4</f>
        <v>28.164599999999997</v>
      </c>
      <c r="O385" s="1"/>
    </row>
    <row r="386" spans="2:16" s="11" customFormat="1" ht="27">
      <c r="B386" s="141"/>
      <c r="D386" s="142" t="s">
        <v>95</v>
      </c>
      <c r="E386" s="143" t="s">
        <v>2</v>
      </c>
      <c r="F386" s="144" t="s">
        <v>1472</v>
      </c>
      <c r="H386" s="145">
        <f>(0.75+0.35+1.7+0.5+1.14+0.5+0.58+1.7+0.38+0.35+0.38+1.8)*(3.3-0.15)</f>
        <v>31.909500000000001</v>
      </c>
      <c r="O386" s="1"/>
    </row>
    <row r="387" spans="2:16" s="11" customFormat="1">
      <c r="B387" s="141"/>
      <c r="D387" s="142" t="s">
        <v>95</v>
      </c>
      <c r="E387" s="143" t="s">
        <v>2</v>
      </c>
      <c r="F387" s="144" t="s">
        <v>1541</v>
      </c>
      <c r="H387" s="145">
        <f>(0.93+0.765+0.6+0.335+0.93+0.3+0.6+0.8)</f>
        <v>5.26</v>
      </c>
      <c r="I387" s="145"/>
      <c r="O387" s="1"/>
    </row>
    <row r="388" spans="2:16" s="11" customFormat="1">
      <c r="B388" s="141"/>
      <c r="D388" s="142" t="s">
        <v>95</v>
      </c>
      <c r="E388" s="143" t="s">
        <v>2</v>
      </c>
      <c r="F388" s="144" t="s">
        <v>2329</v>
      </c>
      <c r="H388" s="145">
        <f>1.395</f>
        <v>1.395</v>
      </c>
      <c r="O388" s="1"/>
    </row>
    <row r="389" spans="2:16" s="11" customFormat="1" ht="40.5">
      <c r="B389" s="141"/>
      <c r="D389" s="142" t="s">
        <v>95</v>
      </c>
      <c r="E389" s="143" t="s">
        <v>2</v>
      </c>
      <c r="F389" s="144" t="s">
        <v>1473</v>
      </c>
      <c r="H389" s="145">
        <f>(0.42+0.4+0.94+0.4+2.24+0.2+1.25+2.3+0.37+0.5+0.7+0.5+0.86+0.5+1.14+0.5+0.58+0.54+0.12+0.09+0.89+0.09+0.12+0.785+1.16+0.195)*(3.15-0.15)</f>
        <v>53.37</v>
      </c>
      <c r="O389" s="1"/>
    </row>
    <row r="390" spans="2:16" s="11" customFormat="1" ht="27">
      <c r="B390" s="141"/>
      <c r="D390" s="142" t="s">
        <v>95</v>
      </c>
      <c r="E390" s="143" t="s">
        <v>2</v>
      </c>
      <c r="F390" s="144" t="s">
        <v>1474</v>
      </c>
      <c r="H390" s="145">
        <f>(2.33+0.25+1.175+0.25+0.535+0.2+1.25+0.2+2.295+0.34+1.33+0.34+0.415+0.265+0.445+1.22+0.445+0.165)*(3.44-0.15)</f>
        <v>44.250499999999995</v>
      </c>
      <c r="O390" s="1"/>
    </row>
    <row r="391" spans="2:16" s="11" customFormat="1" ht="40.5">
      <c r="B391" s="141"/>
      <c r="D391" s="142" t="s">
        <v>95</v>
      </c>
      <c r="E391" s="143" t="s">
        <v>2</v>
      </c>
      <c r="F391" s="144" t="s">
        <v>1475</v>
      </c>
      <c r="H391" s="145">
        <f>((1.515+1.76+0.37+0.5+0.7+0.5+0.445)*3.44)-((1.515+1.76+0.37+0.5+0.7+0.5+0.445)*0.15+(0.615+1.76+0.37)*1.2)</f>
        <v>15.755100000000001</v>
      </c>
      <c r="O391" s="1"/>
    </row>
    <row r="392" spans="2:16" s="11" customFormat="1" ht="27">
      <c r="B392" s="141"/>
      <c r="D392" s="142" t="s">
        <v>95</v>
      </c>
      <c r="E392" s="143" t="s">
        <v>2</v>
      </c>
      <c r="F392" s="144" t="s">
        <v>1476</v>
      </c>
      <c r="H392" s="145">
        <f>(0.415+0.34+1.33+0.34+0.415+0.415+0.5+1.14+0.5+0.605+1.76)*(3.44-0.15)</f>
        <v>25.5304</v>
      </c>
      <c r="O392" s="1"/>
    </row>
    <row r="393" spans="2:16" s="12" customFormat="1">
      <c r="B393" s="146"/>
      <c r="D393" s="142" t="s">
        <v>95</v>
      </c>
      <c r="E393" s="342" t="s">
        <v>2</v>
      </c>
      <c r="F393" s="343" t="s">
        <v>96</v>
      </c>
      <c r="H393" s="149">
        <f>SUM(H385:H392)</f>
        <v>205.63509999999997</v>
      </c>
      <c r="O393" s="1"/>
    </row>
    <row r="394" spans="2:16" s="1" customFormat="1" ht="28.15" customHeight="1">
      <c r="B394" s="39"/>
      <c r="C394" s="135">
        <f>C384+1</f>
        <v>43</v>
      </c>
      <c r="D394" s="135" t="s">
        <v>65</v>
      </c>
      <c r="E394" s="136" t="s">
        <v>179</v>
      </c>
      <c r="F394" s="137" t="s">
        <v>180</v>
      </c>
      <c r="G394" s="138" t="s">
        <v>155</v>
      </c>
      <c r="H394" s="139">
        <f>H402</f>
        <v>204.24009999999998</v>
      </c>
      <c r="I394" s="90"/>
      <c r="J394" s="140">
        <f>ROUND(I394*H394,2)</f>
        <v>0</v>
      </c>
      <c r="K394" s="137"/>
      <c r="P394" s="1">
        <f>H394*0.003</f>
        <v>0.6127203</v>
      </c>
    </row>
    <row r="395" spans="2:16" s="11" customFormat="1" ht="27">
      <c r="B395" s="141"/>
      <c r="D395" s="142" t="s">
        <v>95</v>
      </c>
      <c r="E395" s="143" t="s">
        <v>2</v>
      </c>
      <c r="F395" s="144" t="s">
        <v>1471</v>
      </c>
      <c r="H395" s="145">
        <f>(0.1+0.2+1.525+0.59+0.2+1.11+0.51+0.2+3.09+1.9+0.885+0.2+0.1)*(3.06-0.1)-(1.525+0.59+0.2)*1.4</f>
        <v>28.164599999999997</v>
      </c>
      <c r="O395" s="1"/>
    </row>
    <row r="396" spans="2:16" s="11" customFormat="1" ht="27">
      <c r="B396" s="141"/>
      <c r="D396" s="142" t="s">
        <v>95</v>
      </c>
      <c r="E396" s="143" t="s">
        <v>2</v>
      </c>
      <c r="F396" s="144" t="s">
        <v>1472</v>
      </c>
      <c r="H396" s="145">
        <f>(0.75+0.35+1.7+0.5+1.14+0.5+0.58+1.7+0.38+0.35+0.38+1.8)*(3.3-0.15)</f>
        <v>31.909500000000001</v>
      </c>
      <c r="O396" s="1"/>
    </row>
    <row r="397" spans="2:16" s="11" customFormat="1">
      <c r="B397" s="141"/>
      <c r="D397" s="142" t="s">
        <v>95</v>
      </c>
      <c r="E397" s="143" t="s">
        <v>2</v>
      </c>
      <c r="F397" s="144" t="s">
        <v>1541</v>
      </c>
      <c r="H397" s="145">
        <f>(0.93+0.765+0.6+0.335+0.93+0.3+0.6+0.8)</f>
        <v>5.26</v>
      </c>
      <c r="I397" s="145"/>
      <c r="O397" s="1"/>
    </row>
    <row r="398" spans="2:16" s="11" customFormat="1" ht="40.5">
      <c r="B398" s="141"/>
      <c r="D398" s="142" t="s">
        <v>95</v>
      </c>
      <c r="E398" s="143" t="s">
        <v>2</v>
      </c>
      <c r="F398" s="144" t="s">
        <v>1473</v>
      </c>
      <c r="H398" s="145">
        <f>(0.42+0.4+0.94+0.4+2.24+0.2+1.25+2.3+0.37+0.5+0.7+0.5+0.86+0.5+1.14+0.5+0.58+0.54+0.12+0.09+0.89+0.09+0.12+0.785+1.16+0.195)*(3.15-0.15)</f>
        <v>53.37</v>
      </c>
      <c r="O398" s="1"/>
    </row>
    <row r="399" spans="2:16" s="11" customFormat="1" ht="27">
      <c r="B399" s="141"/>
      <c r="D399" s="142" t="s">
        <v>95</v>
      </c>
      <c r="E399" s="143" t="s">
        <v>2</v>
      </c>
      <c r="F399" s="144" t="s">
        <v>1474</v>
      </c>
      <c r="H399" s="145">
        <f>(2.33+0.25+1.175+0.25+0.535+0.2+1.25+0.2+2.295+0.34+1.33+0.34+0.415+0.265+0.445+1.22+0.445+0.165)*(3.44-0.15)</f>
        <v>44.250499999999995</v>
      </c>
      <c r="O399" s="1"/>
    </row>
    <row r="400" spans="2:16" s="11" customFormat="1" ht="40.5">
      <c r="B400" s="141"/>
      <c r="D400" s="142" t="s">
        <v>95</v>
      </c>
      <c r="E400" s="143" t="s">
        <v>2</v>
      </c>
      <c r="F400" s="144" t="s">
        <v>1475</v>
      </c>
      <c r="H400" s="145">
        <f>((1.515+1.76+0.37+0.5+0.7+0.5+0.445)*3.44)-((1.515+1.76+0.37+0.5+0.7+0.5+0.445)*0.15+(0.615+1.76+0.37)*1.2)</f>
        <v>15.755100000000001</v>
      </c>
      <c r="O400" s="1"/>
    </row>
    <row r="401" spans="2:16" s="11" customFormat="1" ht="27">
      <c r="B401" s="141"/>
      <c r="D401" s="142" t="s">
        <v>95</v>
      </c>
      <c r="E401" s="143" t="s">
        <v>2</v>
      </c>
      <c r="F401" s="144" t="s">
        <v>1476</v>
      </c>
      <c r="H401" s="145">
        <f>(0.415+0.34+1.33+0.34+0.415+0.415+0.5+1.14+0.5+0.605+1.76)*(3.44-0.15)</f>
        <v>25.5304</v>
      </c>
      <c r="O401" s="1"/>
    </row>
    <row r="402" spans="2:16" s="12" customFormat="1">
      <c r="B402" s="146"/>
      <c r="D402" s="142" t="s">
        <v>95</v>
      </c>
      <c r="E402" s="342" t="s">
        <v>2</v>
      </c>
      <c r="F402" s="343" t="s">
        <v>96</v>
      </c>
      <c r="H402" s="149">
        <f>SUM(H395:H401)</f>
        <v>204.24009999999998</v>
      </c>
      <c r="O402" s="1"/>
    </row>
    <row r="403" spans="2:16" s="1" customFormat="1" ht="22.5" customHeight="1">
      <c r="B403" s="39"/>
      <c r="C403" s="135">
        <f>C394+1</f>
        <v>44</v>
      </c>
      <c r="D403" s="135" t="s">
        <v>65</v>
      </c>
      <c r="E403" s="136" t="s">
        <v>182</v>
      </c>
      <c r="F403" s="137" t="s">
        <v>183</v>
      </c>
      <c r="G403" s="138" t="s">
        <v>115</v>
      </c>
      <c r="H403" s="139">
        <f>H407</f>
        <v>3</v>
      </c>
      <c r="I403" s="90"/>
      <c r="J403" s="140">
        <f>ROUND(I403*H403,2)</f>
        <v>0</v>
      </c>
      <c r="K403" s="137"/>
      <c r="P403" s="1">
        <f>H403*0.15</f>
        <v>0.44999999999999996</v>
      </c>
    </row>
    <row r="404" spans="2:16" s="11" customFormat="1">
      <c r="B404" s="141"/>
      <c r="D404" s="142" t="s">
        <v>95</v>
      </c>
      <c r="E404" s="143" t="s">
        <v>2</v>
      </c>
      <c r="F404" s="144" t="s">
        <v>1542</v>
      </c>
      <c r="H404" s="145">
        <f>1</f>
        <v>1</v>
      </c>
      <c r="I404" s="145"/>
      <c r="O404" s="1"/>
    </row>
    <row r="405" spans="2:16" s="11" customFormat="1">
      <c r="B405" s="141"/>
      <c r="D405" s="142" t="s">
        <v>95</v>
      </c>
      <c r="E405" s="143" t="s">
        <v>2</v>
      </c>
      <c r="F405" s="144" t="s">
        <v>2331</v>
      </c>
      <c r="H405" s="145">
        <f>1</f>
        <v>1</v>
      </c>
      <c r="I405" s="145"/>
      <c r="O405" s="1"/>
    </row>
    <row r="406" spans="2:16" s="11" customFormat="1">
      <c r="B406" s="141"/>
      <c r="D406" s="142" t="s">
        <v>95</v>
      </c>
      <c r="E406" s="143" t="s">
        <v>2</v>
      </c>
      <c r="F406" s="144" t="s">
        <v>1544</v>
      </c>
      <c r="H406" s="145">
        <f>1</f>
        <v>1</v>
      </c>
      <c r="O406" s="1"/>
    </row>
    <row r="407" spans="2:16" s="12" customFormat="1">
      <c r="B407" s="146"/>
      <c r="D407" s="142" t="s">
        <v>95</v>
      </c>
      <c r="E407" s="342" t="s">
        <v>2</v>
      </c>
      <c r="F407" s="343" t="s">
        <v>96</v>
      </c>
      <c r="H407" s="149">
        <f>SUM(H404:H406)</f>
        <v>3</v>
      </c>
      <c r="O407" s="1"/>
    </row>
    <row r="408" spans="2:16" s="1" customFormat="1" ht="22.5" customHeight="1">
      <c r="B408" s="39"/>
      <c r="C408" s="150">
        <f>C403+1</f>
        <v>45</v>
      </c>
      <c r="D408" s="150" t="s">
        <v>123</v>
      </c>
      <c r="E408" s="151" t="s">
        <v>184</v>
      </c>
      <c r="F408" s="152" t="s">
        <v>2332</v>
      </c>
      <c r="G408" s="153" t="s">
        <v>115</v>
      </c>
      <c r="H408" s="154">
        <f>H411</f>
        <v>2</v>
      </c>
      <c r="I408" s="91"/>
      <c r="J408" s="155">
        <f>ROUND(I408*H408,2)</f>
        <v>0</v>
      </c>
      <c r="K408" s="152"/>
      <c r="P408" s="1">
        <f>H408*0.15</f>
        <v>0.3</v>
      </c>
    </row>
    <row r="409" spans="2:16" s="11" customFormat="1">
      <c r="B409" s="141"/>
      <c r="D409" s="142" t="s">
        <v>95</v>
      </c>
      <c r="E409" s="143" t="s">
        <v>2</v>
      </c>
      <c r="F409" s="144" t="s">
        <v>2333</v>
      </c>
      <c r="H409" s="145">
        <f>1</f>
        <v>1</v>
      </c>
      <c r="I409" s="145"/>
      <c r="O409" s="1"/>
    </row>
    <row r="410" spans="2:16" s="11" customFormat="1">
      <c r="B410" s="141"/>
      <c r="D410" s="142" t="s">
        <v>95</v>
      </c>
      <c r="E410" s="143" t="s">
        <v>2</v>
      </c>
      <c r="F410" s="144" t="s">
        <v>2334</v>
      </c>
      <c r="H410" s="145">
        <f>1</f>
        <v>1</v>
      </c>
      <c r="I410" s="145"/>
      <c r="O410" s="1"/>
    </row>
    <row r="411" spans="2:16" s="12" customFormat="1">
      <c r="B411" s="146"/>
      <c r="D411" s="142" t="s">
        <v>95</v>
      </c>
      <c r="E411" s="342" t="s">
        <v>2</v>
      </c>
      <c r="F411" s="343" t="s">
        <v>96</v>
      </c>
      <c r="H411" s="149">
        <f>SUM(H409:H410)</f>
        <v>2</v>
      </c>
      <c r="O411" s="1"/>
    </row>
    <row r="412" spans="2:16" s="1" customFormat="1" ht="22.5" customHeight="1">
      <c r="B412" s="39"/>
      <c r="C412" s="150">
        <f>C408+1</f>
        <v>46</v>
      </c>
      <c r="D412" s="150" t="s">
        <v>123</v>
      </c>
      <c r="E412" s="151" t="s">
        <v>184</v>
      </c>
      <c r="F412" s="152" t="s">
        <v>1545</v>
      </c>
      <c r="G412" s="153" t="s">
        <v>115</v>
      </c>
      <c r="H412" s="154">
        <f>H414</f>
        <v>1</v>
      </c>
      <c r="I412" s="91"/>
      <c r="J412" s="155">
        <f>ROUND(I412*H412,2)</f>
        <v>0</v>
      </c>
      <c r="K412" s="152"/>
      <c r="P412" s="1">
        <f>H412*0.15</f>
        <v>0.15</v>
      </c>
    </row>
    <row r="413" spans="2:16" s="11" customFormat="1">
      <c r="B413" s="141"/>
      <c r="D413" s="142" t="s">
        <v>95</v>
      </c>
      <c r="E413" s="143" t="s">
        <v>2</v>
      </c>
      <c r="F413" s="144" t="s">
        <v>1544</v>
      </c>
      <c r="H413" s="145">
        <f>1</f>
        <v>1</v>
      </c>
      <c r="I413" s="145"/>
      <c r="O413" s="1"/>
    </row>
    <row r="414" spans="2:16" s="12" customFormat="1">
      <c r="B414" s="146"/>
      <c r="D414" s="142" t="s">
        <v>95</v>
      </c>
      <c r="E414" s="342" t="s">
        <v>2</v>
      </c>
      <c r="F414" s="343" t="s">
        <v>96</v>
      </c>
      <c r="H414" s="149">
        <f>SUM(H413:H413)</f>
        <v>1</v>
      </c>
      <c r="O414" s="1"/>
    </row>
    <row r="415" spans="2:16" s="10" customFormat="1" ht="29.85" customHeight="1">
      <c r="B415" s="128"/>
      <c r="D415" s="129" t="s">
        <v>39</v>
      </c>
      <c r="E415" s="133" t="s">
        <v>102</v>
      </c>
      <c r="F415" s="133" t="s">
        <v>185</v>
      </c>
      <c r="J415" s="134">
        <f>SUM(J416:J582)</f>
        <v>0</v>
      </c>
    </row>
    <row r="416" spans="2:16" s="1" customFormat="1" ht="28.9" customHeight="1">
      <c r="B416" s="39"/>
      <c r="C416" s="135">
        <f>C412+1</f>
        <v>47</v>
      </c>
      <c r="D416" s="135" t="s">
        <v>65</v>
      </c>
      <c r="E416" s="136" t="s">
        <v>192</v>
      </c>
      <c r="F416" s="137" t="s">
        <v>193</v>
      </c>
      <c r="G416" s="138" t="s">
        <v>105</v>
      </c>
      <c r="H416" s="139">
        <f>H418</f>
        <v>110.49</v>
      </c>
      <c r="I416" s="90"/>
      <c r="J416" s="140">
        <f>ROUND(I416*H416,2)</f>
        <v>0</v>
      </c>
      <c r="K416" s="137"/>
      <c r="P416" s="1">
        <f>H416*0.045</f>
        <v>4.9720499999999994</v>
      </c>
    </row>
    <row r="417" spans="2:16" s="11" customFormat="1">
      <c r="B417" s="141"/>
      <c r="D417" s="142" t="s">
        <v>95</v>
      </c>
      <c r="E417" s="143" t="s">
        <v>2</v>
      </c>
      <c r="F417" s="144" t="s">
        <v>1555</v>
      </c>
      <c r="H417" s="145">
        <f>110.49</f>
        <v>110.49</v>
      </c>
      <c r="O417" s="1"/>
    </row>
    <row r="418" spans="2:16" s="12" customFormat="1">
      <c r="B418" s="146"/>
      <c r="D418" s="142" t="s">
        <v>95</v>
      </c>
      <c r="E418" s="147" t="s">
        <v>2</v>
      </c>
      <c r="F418" s="148" t="s">
        <v>96</v>
      </c>
      <c r="H418" s="149">
        <f>SUM(H417:H417)</f>
        <v>110.49</v>
      </c>
      <c r="O418" s="1"/>
    </row>
    <row r="419" spans="2:16" s="1" customFormat="1" ht="22.5" customHeight="1">
      <c r="B419" s="39"/>
      <c r="C419" s="135">
        <f>C416+1</f>
        <v>48</v>
      </c>
      <c r="D419" s="135" t="s">
        <v>65</v>
      </c>
      <c r="E419" s="136" t="s">
        <v>1504</v>
      </c>
      <c r="F419" s="137" t="s">
        <v>1507</v>
      </c>
      <c r="G419" s="138" t="s">
        <v>105</v>
      </c>
      <c r="H419" s="139">
        <f>H424</f>
        <v>180</v>
      </c>
      <c r="I419" s="90"/>
      <c r="J419" s="140">
        <f>ROUND(I419*H419,2)</f>
        <v>0</v>
      </c>
      <c r="K419" s="137"/>
      <c r="P419" s="1">
        <f>H419*0.00125</f>
        <v>0.22500000000000001</v>
      </c>
    </row>
    <row r="420" spans="2:16" s="11" customFormat="1">
      <c r="B420" s="141"/>
      <c r="D420" s="142" t="s">
        <v>95</v>
      </c>
      <c r="E420" s="143" t="s">
        <v>2</v>
      </c>
      <c r="F420" s="144" t="s">
        <v>1510</v>
      </c>
      <c r="H420" s="145">
        <f>(6+4+2)*2</f>
        <v>24</v>
      </c>
      <c r="O420" s="1"/>
    </row>
    <row r="421" spans="2:16" s="11" customFormat="1">
      <c r="B421" s="141"/>
      <c r="D421" s="142" t="s">
        <v>95</v>
      </c>
      <c r="E421" s="143" t="s">
        <v>2</v>
      </c>
      <c r="F421" s="144" t="s">
        <v>1511</v>
      </c>
      <c r="H421" s="145">
        <f>(4+4+3+2+2)*2</f>
        <v>30</v>
      </c>
      <c r="O421" s="1"/>
    </row>
    <row r="422" spans="2:16" s="11" customFormat="1">
      <c r="B422" s="141"/>
      <c r="D422" s="142" t="s">
        <v>95</v>
      </c>
      <c r="E422" s="143" t="s">
        <v>2</v>
      </c>
      <c r="F422" s="144" t="s">
        <v>1512</v>
      </c>
      <c r="H422" s="145">
        <f>(4+4+2+3+2)*2</f>
        <v>30</v>
      </c>
      <c r="O422" s="1"/>
    </row>
    <row r="423" spans="2:16" s="11" customFormat="1">
      <c r="B423" s="141"/>
      <c r="D423" s="142" t="s">
        <v>95</v>
      </c>
      <c r="E423" s="143" t="s">
        <v>2</v>
      </c>
      <c r="F423" s="144" t="s">
        <v>1513</v>
      </c>
      <c r="H423" s="145">
        <f>(4*12)*2</f>
        <v>96</v>
      </c>
      <c r="O423" s="1"/>
    </row>
    <row r="424" spans="2:16" s="12" customFormat="1">
      <c r="B424" s="146"/>
      <c r="D424" s="142" t="s">
        <v>95</v>
      </c>
      <c r="E424" s="147" t="s">
        <v>2</v>
      </c>
      <c r="F424" s="148" t="s">
        <v>96</v>
      </c>
      <c r="H424" s="149">
        <f>SUM(H420:H423)</f>
        <v>180</v>
      </c>
      <c r="O424" s="1"/>
    </row>
    <row r="425" spans="2:16" s="1" customFormat="1" ht="22.5" customHeight="1">
      <c r="B425" s="39"/>
      <c r="C425" s="135">
        <f>C419+1</f>
        <v>49</v>
      </c>
      <c r="D425" s="135" t="s">
        <v>65</v>
      </c>
      <c r="E425" s="136" t="s">
        <v>196</v>
      </c>
      <c r="F425" s="137" t="s">
        <v>197</v>
      </c>
      <c r="G425" s="138" t="s">
        <v>105</v>
      </c>
      <c r="H425" s="139">
        <f>H427</f>
        <v>110.49</v>
      </c>
      <c r="I425" s="90"/>
      <c r="J425" s="140">
        <f>ROUND(I425*H425,2)</f>
        <v>0</v>
      </c>
      <c r="K425" s="137"/>
      <c r="P425" s="1">
        <f>H425*0.005</f>
        <v>0.55245</v>
      </c>
    </row>
    <row r="426" spans="2:16" s="11" customFormat="1">
      <c r="B426" s="141"/>
      <c r="D426" s="142" t="s">
        <v>95</v>
      </c>
      <c r="E426" s="143" t="s">
        <v>2</v>
      </c>
      <c r="F426" s="144" t="s">
        <v>1555</v>
      </c>
      <c r="H426" s="145">
        <f>110.49</f>
        <v>110.49</v>
      </c>
      <c r="O426" s="1"/>
    </row>
    <row r="427" spans="2:16" s="12" customFormat="1">
      <c r="B427" s="146"/>
      <c r="D427" s="142" t="s">
        <v>95</v>
      </c>
      <c r="E427" s="147" t="s">
        <v>2</v>
      </c>
      <c r="F427" s="148" t="s">
        <v>96</v>
      </c>
      <c r="H427" s="149">
        <f>SUM(H426:H426)</f>
        <v>110.49</v>
      </c>
      <c r="O427" s="1"/>
    </row>
    <row r="428" spans="2:16" s="1" customFormat="1" ht="22.5" customHeight="1">
      <c r="B428" s="39"/>
      <c r="C428" s="135">
        <f>C425+1</f>
        <v>50</v>
      </c>
      <c r="D428" s="304" t="s">
        <v>65</v>
      </c>
      <c r="E428" s="305" t="s">
        <v>1029</v>
      </c>
      <c r="F428" s="306" t="s">
        <v>1030</v>
      </c>
      <c r="G428" s="307" t="s">
        <v>105</v>
      </c>
      <c r="H428" s="139">
        <f>H432</f>
        <v>23.457000000000001</v>
      </c>
      <c r="I428" s="90"/>
      <c r="J428" s="140">
        <f>ROUND(I428*H428,2)</f>
        <v>0</v>
      </c>
      <c r="K428" s="137"/>
      <c r="O428" s="1">
        <f>H428*0.05*1.85</f>
        <v>2.1697725000000005</v>
      </c>
    </row>
    <row r="429" spans="2:16" s="11" customFormat="1" ht="27">
      <c r="B429" s="141"/>
      <c r="D429" s="142" t="s">
        <v>95</v>
      </c>
      <c r="E429" s="143" t="s">
        <v>2</v>
      </c>
      <c r="F429" s="144" t="s">
        <v>2338</v>
      </c>
      <c r="H429" s="145">
        <f>((0.7+2.02*2)*2+(1.35+2.02*2)*1+(1.31+2.44*2)*1+(1.26+2.4*2)*1+(0.99+2.29*2)*1+(1.35+2.4*2)*1+(1.32+2.39*2)*1+(1+2.02*2)*1)*0.15</f>
        <v>7.496999999999999</v>
      </c>
      <c r="O429" s="1"/>
    </row>
    <row r="430" spans="2:16" s="11" customFormat="1">
      <c r="B430" s="141"/>
      <c r="D430" s="142" t="s">
        <v>95</v>
      </c>
      <c r="E430" s="143" t="s">
        <v>2</v>
      </c>
      <c r="F430" s="144" t="s">
        <v>1556</v>
      </c>
      <c r="H430" s="145">
        <f>(((0.7*1.4)*2)*2)*0.5</f>
        <v>1.9599999999999997</v>
      </c>
      <c r="O430" s="1"/>
    </row>
    <row r="431" spans="2:16" s="11" customFormat="1">
      <c r="B431" s="141"/>
      <c r="D431" s="142" t="s">
        <v>95</v>
      </c>
      <c r="E431" s="143" t="s">
        <v>2</v>
      </c>
      <c r="F431" s="144" t="s">
        <v>1557</v>
      </c>
      <c r="H431" s="145">
        <f>(((1*2)*2)*7)*0.5</f>
        <v>14</v>
      </c>
      <c r="O431" s="1"/>
    </row>
    <row r="432" spans="2:16" s="12" customFormat="1">
      <c r="B432" s="146"/>
      <c r="D432" s="142" t="s">
        <v>95</v>
      </c>
      <c r="E432" s="147" t="s">
        <v>2</v>
      </c>
      <c r="F432" s="148" t="s">
        <v>96</v>
      </c>
      <c r="H432" s="149">
        <f>SUM(H429:H431)</f>
        <v>23.457000000000001</v>
      </c>
      <c r="O432" s="1"/>
    </row>
    <row r="433" spans="2:15" s="1" customFormat="1" ht="22.5" customHeight="1">
      <c r="B433" s="39"/>
      <c r="C433" s="135">
        <f>C428+1</f>
        <v>51</v>
      </c>
      <c r="D433" s="304" t="s">
        <v>65</v>
      </c>
      <c r="E433" s="305" t="s">
        <v>1050</v>
      </c>
      <c r="F433" s="306" t="s">
        <v>1049</v>
      </c>
      <c r="G433" s="307" t="s">
        <v>155</v>
      </c>
      <c r="H433" s="139">
        <f>H436</f>
        <v>8.4</v>
      </c>
      <c r="I433" s="90"/>
      <c r="J433" s="140">
        <f>ROUND(I433*H433,2)</f>
        <v>0</v>
      </c>
      <c r="K433" s="137"/>
      <c r="O433" s="1">
        <f>H433*0.5*0.02*0.89</f>
        <v>7.4760000000000007E-2</v>
      </c>
    </row>
    <row r="434" spans="2:15" s="11" customFormat="1">
      <c r="B434" s="141"/>
      <c r="D434" s="142" t="s">
        <v>95</v>
      </c>
      <c r="E434" s="143" t="s">
        <v>2</v>
      </c>
      <c r="F434" s="144" t="s">
        <v>1547</v>
      </c>
      <c r="H434" s="145">
        <f>(0.7*2)</f>
        <v>1.4</v>
      </c>
      <c r="O434" s="1"/>
    </row>
    <row r="435" spans="2:15" s="11" customFormat="1">
      <c r="B435" s="141"/>
      <c r="D435" s="142" t="s">
        <v>95</v>
      </c>
      <c r="E435" s="143" t="s">
        <v>2</v>
      </c>
      <c r="F435" s="144" t="s">
        <v>1548</v>
      </c>
      <c r="H435" s="145">
        <f>(1*7)</f>
        <v>7</v>
      </c>
      <c r="O435" s="1"/>
    </row>
    <row r="436" spans="2:15" s="12" customFormat="1">
      <c r="B436" s="146"/>
      <c r="D436" s="142" t="s">
        <v>95</v>
      </c>
      <c r="E436" s="147" t="s">
        <v>2</v>
      </c>
      <c r="F436" s="148" t="s">
        <v>96</v>
      </c>
      <c r="H436" s="149">
        <f>SUM(H434:H435)</f>
        <v>8.4</v>
      </c>
      <c r="O436" s="1"/>
    </row>
    <row r="437" spans="2:15" s="12" customFormat="1" ht="28.9" customHeight="1">
      <c r="B437" s="146"/>
      <c r="C437" s="135">
        <f>C433+1</f>
        <v>52</v>
      </c>
      <c r="D437" s="304" t="s">
        <v>65</v>
      </c>
      <c r="E437" s="305" t="s">
        <v>1558</v>
      </c>
      <c r="F437" s="306" t="s">
        <v>1559</v>
      </c>
      <c r="G437" s="307" t="s">
        <v>155</v>
      </c>
      <c r="H437" s="139">
        <f>H442</f>
        <v>15.399999999999999</v>
      </c>
      <c r="I437" s="90"/>
      <c r="J437" s="140">
        <f>ROUND(I437*H437,2)</f>
        <v>0</v>
      </c>
      <c r="K437" s="137"/>
      <c r="O437" s="1">
        <f>H437*0.15*0.25*1.85</f>
        <v>1.0683749999999999</v>
      </c>
    </row>
    <row r="438" spans="2:15" s="11" customFormat="1" ht="24" customHeight="1">
      <c r="B438" s="141"/>
      <c r="D438" s="142" t="s">
        <v>95</v>
      </c>
      <c r="E438" s="143" t="s">
        <v>2</v>
      </c>
      <c r="F438" s="144" t="s">
        <v>1560</v>
      </c>
      <c r="H438" s="145">
        <f>(1.74*3)</f>
        <v>5.22</v>
      </c>
      <c r="O438" s="1"/>
    </row>
    <row r="439" spans="2:15" s="11" customFormat="1" ht="24" customHeight="1">
      <c r="B439" s="141"/>
      <c r="D439" s="142" t="s">
        <v>95</v>
      </c>
      <c r="E439" s="143" t="s">
        <v>2</v>
      </c>
      <c r="F439" s="144" t="s">
        <v>1561</v>
      </c>
      <c r="H439" s="145">
        <f>(1.74*2)</f>
        <v>3.48</v>
      </c>
      <c r="O439" s="1"/>
    </row>
    <row r="440" spans="2:15" s="11" customFormat="1" ht="24" customHeight="1">
      <c r="B440" s="141"/>
      <c r="D440" s="142" t="s">
        <v>95</v>
      </c>
      <c r="E440" s="143" t="s">
        <v>2</v>
      </c>
      <c r="F440" s="144" t="s">
        <v>1562</v>
      </c>
      <c r="H440" s="145">
        <f>(1.85*2)</f>
        <v>3.7</v>
      </c>
      <c r="O440" s="1"/>
    </row>
    <row r="441" spans="2:15" s="11" customFormat="1" ht="24" customHeight="1">
      <c r="B441" s="141"/>
      <c r="D441" s="142" t="s">
        <v>95</v>
      </c>
      <c r="E441" s="143" t="s">
        <v>2</v>
      </c>
      <c r="F441" s="144" t="s">
        <v>1563</v>
      </c>
      <c r="H441" s="145">
        <f>(1.5*2)</f>
        <v>3</v>
      </c>
      <c r="O441" s="1"/>
    </row>
    <row r="442" spans="2:15" s="12" customFormat="1">
      <c r="B442" s="146"/>
      <c r="D442" s="142" t="s">
        <v>95</v>
      </c>
      <c r="E442" s="147" t="s">
        <v>2</v>
      </c>
      <c r="F442" s="148" t="s">
        <v>96</v>
      </c>
      <c r="H442" s="149">
        <f>SUM(H438:H441)</f>
        <v>15.399999999999999</v>
      </c>
      <c r="O442" s="1"/>
    </row>
    <row r="443" spans="2:15" s="12" customFormat="1" ht="28.9" customHeight="1">
      <c r="B443" s="146"/>
      <c r="C443" s="135">
        <f>C437+1</f>
        <v>53</v>
      </c>
      <c r="D443" s="304" t="s">
        <v>65</v>
      </c>
      <c r="E443" s="305" t="s">
        <v>1045</v>
      </c>
      <c r="F443" s="306" t="s">
        <v>1046</v>
      </c>
      <c r="G443" s="307" t="s">
        <v>265</v>
      </c>
      <c r="H443" s="139">
        <f>H448</f>
        <v>18</v>
      </c>
      <c r="I443" s="90"/>
      <c r="J443" s="140">
        <f>ROUND(I443*H443,2)</f>
        <v>0</v>
      </c>
      <c r="K443" s="137"/>
      <c r="O443" s="1">
        <f>H443*0.25*0.25*0.3*1.875</f>
        <v>0.63281249999999989</v>
      </c>
    </row>
    <row r="444" spans="2:15" s="11" customFormat="1">
      <c r="B444" s="141"/>
      <c r="D444" s="142" t="s">
        <v>95</v>
      </c>
      <c r="E444" s="143" t="s">
        <v>2</v>
      </c>
      <c r="F444" s="144" t="s">
        <v>1564</v>
      </c>
      <c r="H444" s="145">
        <f>(3*2)</f>
        <v>6</v>
      </c>
      <c r="O444" s="1"/>
    </row>
    <row r="445" spans="2:15" s="11" customFormat="1">
      <c r="B445" s="141"/>
      <c r="D445" s="142" t="s">
        <v>95</v>
      </c>
      <c r="E445" s="143" t="s">
        <v>2</v>
      </c>
      <c r="F445" s="144" t="s">
        <v>1565</v>
      </c>
      <c r="H445" s="145">
        <f>(2*2)</f>
        <v>4</v>
      </c>
      <c r="O445" s="1"/>
    </row>
    <row r="446" spans="2:15" s="11" customFormat="1">
      <c r="B446" s="141"/>
      <c r="D446" s="142" t="s">
        <v>95</v>
      </c>
      <c r="E446" s="143" t="s">
        <v>2</v>
      </c>
      <c r="F446" s="144" t="s">
        <v>1566</v>
      </c>
      <c r="H446" s="145">
        <f>(2*2)</f>
        <v>4</v>
      </c>
      <c r="O446" s="1"/>
    </row>
    <row r="447" spans="2:15" s="11" customFormat="1">
      <c r="B447" s="141"/>
      <c r="D447" s="142" t="s">
        <v>95</v>
      </c>
      <c r="E447" s="143" t="s">
        <v>2</v>
      </c>
      <c r="F447" s="144" t="s">
        <v>1567</v>
      </c>
      <c r="H447" s="145">
        <f>(2*2)</f>
        <v>4</v>
      </c>
      <c r="O447" s="1"/>
    </row>
    <row r="448" spans="2:15" s="12" customFormat="1">
      <c r="B448" s="146"/>
      <c r="D448" s="142" t="s">
        <v>95</v>
      </c>
      <c r="E448" s="147" t="s">
        <v>2</v>
      </c>
      <c r="F448" s="148" t="s">
        <v>96</v>
      </c>
      <c r="H448" s="149">
        <f>SUM(H444:H447)</f>
        <v>18</v>
      </c>
      <c r="O448" s="1"/>
    </row>
    <row r="449" spans="2:15" s="12" customFormat="1" ht="28.9" customHeight="1">
      <c r="B449" s="146"/>
      <c r="C449" s="135">
        <f>C443+1</f>
        <v>54</v>
      </c>
      <c r="D449" s="304" t="s">
        <v>65</v>
      </c>
      <c r="E449" s="305" t="s">
        <v>1054</v>
      </c>
      <c r="F449" s="306" t="s">
        <v>1055</v>
      </c>
      <c r="G449" s="307" t="s">
        <v>105</v>
      </c>
      <c r="H449" s="139">
        <f>H461</f>
        <v>379.89458000000002</v>
      </c>
      <c r="I449" s="90"/>
      <c r="J449" s="140">
        <f>ROUND(I449*H449,2)</f>
        <v>0</v>
      </c>
      <c r="K449" s="137"/>
      <c r="O449" s="1">
        <f>H449*0.03*1.864</f>
        <v>21.243704913600002</v>
      </c>
    </row>
    <row r="450" spans="2:15" s="11" customFormat="1" ht="27">
      <c r="B450" s="141"/>
      <c r="D450" s="142" t="s">
        <v>95</v>
      </c>
      <c r="E450" s="143" t="s">
        <v>2</v>
      </c>
      <c r="F450" s="144" t="s">
        <v>1457</v>
      </c>
      <c r="H450" s="145">
        <f>(0.1+0.2+1.525+0.59+0.2+1.11+0.51+0.2+3.09+1.9+0.885+0.2+0.1)*3.06</f>
        <v>32.4666</v>
      </c>
      <c r="O450" s="1"/>
    </row>
    <row r="451" spans="2:15" s="11" customFormat="1">
      <c r="B451" s="141"/>
      <c r="D451" s="142" t="s">
        <v>95</v>
      </c>
      <c r="E451" s="143" t="s">
        <v>2</v>
      </c>
      <c r="F451" s="144" t="s">
        <v>2323</v>
      </c>
      <c r="H451" s="145">
        <f>(0.5+0.5)*2.2+(0.5)*1.5</f>
        <v>2.95</v>
      </c>
      <c r="O451" s="1"/>
    </row>
    <row r="452" spans="2:15" s="11" customFormat="1" ht="27">
      <c r="B452" s="141"/>
      <c r="D452" s="142" t="s">
        <v>95</v>
      </c>
      <c r="E452" s="143" t="s">
        <v>2</v>
      </c>
      <c r="F452" s="144" t="s">
        <v>1458</v>
      </c>
      <c r="H452" s="145">
        <f>(0.75+0.35+1.7+0.5+1.14+0.5+0.58+1.7+0.38+0.35+0.38+1.8)*3.3</f>
        <v>33.429000000000002</v>
      </c>
      <c r="O452" s="1"/>
    </row>
    <row r="453" spans="2:15" s="11" customFormat="1">
      <c r="B453" s="141"/>
      <c r="D453" s="142" t="s">
        <v>95</v>
      </c>
      <c r="E453" s="143" t="s">
        <v>2</v>
      </c>
      <c r="F453" s="144" t="s">
        <v>1459</v>
      </c>
      <c r="H453" s="145">
        <f>(0.93+0.765+0.6+0.335+0.93+0.3+0.6+0.8)*3.06</f>
        <v>16.095600000000001</v>
      </c>
      <c r="O453" s="1"/>
    </row>
    <row r="454" spans="2:15" s="11" customFormat="1" ht="40.5">
      <c r="B454" s="141"/>
      <c r="D454" s="142" t="s">
        <v>95</v>
      </c>
      <c r="E454" s="143" t="s">
        <v>2</v>
      </c>
      <c r="F454" s="144" t="s">
        <v>1462</v>
      </c>
      <c r="H454" s="145">
        <f>(0.42+0.4+0.94+0.4+2.24+0.2+1.25+2.3+0.37+0.5+0.7+0.5+0.86+0.5+1.14+0.5+0.58+0.54+0.12+0.09+0.89+0.09+0.12+0.785+1.16+0.195)*3.15</f>
        <v>56.038499999999999</v>
      </c>
      <c r="O454" s="1"/>
    </row>
    <row r="455" spans="2:15" s="11" customFormat="1">
      <c r="B455" s="141"/>
      <c r="D455" s="142" t="s">
        <v>95</v>
      </c>
      <c r="E455" s="143" t="s">
        <v>2</v>
      </c>
      <c r="F455" s="144" t="s">
        <v>1489</v>
      </c>
      <c r="H455" s="145">
        <f>(0.893+0.2+1.25+1)*3.44</f>
        <v>11.499919999999999</v>
      </c>
      <c r="O455" s="1"/>
    </row>
    <row r="456" spans="2:15" s="11" customFormat="1">
      <c r="B456" s="141"/>
      <c r="D456" s="142" t="s">
        <v>95</v>
      </c>
      <c r="E456" s="143" t="s">
        <v>2</v>
      </c>
      <c r="F456" s="144" t="s">
        <v>1493</v>
      </c>
      <c r="H456" s="145">
        <f>(1+0.147+0.1+0.9+0.1+0.147+1)*3.44</f>
        <v>11.67536</v>
      </c>
      <c r="O456" s="1"/>
    </row>
    <row r="457" spans="2:15" s="11" customFormat="1" ht="27">
      <c r="B457" s="141"/>
      <c r="D457" s="142" t="s">
        <v>95</v>
      </c>
      <c r="E457" s="143" t="s">
        <v>2</v>
      </c>
      <c r="F457" s="144" t="s">
        <v>1463</v>
      </c>
      <c r="H457" s="145">
        <f>(2.33+0.25+1.175+0.25+0.535+0.2+1.25+0.2+2.295+0.34+1.33+0.34+0.415+0.265+0.445+1.22+0.445+0.165)*3.44</f>
        <v>46.267999999999994</v>
      </c>
      <c r="O457" s="1"/>
    </row>
    <row r="458" spans="2:15" s="11" customFormat="1">
      <c r="B458" s="141"/>
      <c r="D458" s="142" t="s">
        <v>95</v>
      </c>
      <c r="E458" s="143" t="s">
        <v>2</v>
      </c>
      <c r="F458" s="144" t="s">
        <v>1464</v>
      </c>
      <c r="H458" s="145">
        <f>(1.515+1.76+0.37+0.5+0.7+0.5+0.445)*3.44</f>
        <v>19.9176</v>
      </c>
      <c r="O458" s="1"/>
    </row>
    <row r="459" spans="2:15" s="11" customFormat="1" ht="27">
      <c r="B459" s="141"/>
      <c r="D459" s="142" t="s">
        <v>95</v>
      </c>
      <c r="E459" s="143" t="s">
        <v>2</v>
      </c>
      <c r="F459" s="144" t="s">
        <v>1465</v>
      </c>
      <c r="H459" s="145">
        <f>(0.415+0.34+1.33+0.34+0.415+0.415+0.5+1.14+0.5+0.605+1.76)*3.44</f>
        <v>26.694399999999998</v>
      </c>
      <c r="O459" s="1"/>
    </row>
    <row r="460" spans="2:15" s="11" customFormat="1" ht="54">
      <c r="B460" s="141"/>
      <c r="D460" s="142" t="s">
        <v>95</v>
      </c>
      <c r="E460" s="143" t="s">
        <v>2</v>
      </c>
      <c r="F460" s="144" t="s">
        <v>1466</v>
      </c>
      <c r="H460" s="145">
        <f>((1.372+0.341+1.183+0.341+0.24+0.344+1.183+0.344+1.902)+(2.44+0.148+0.1+0.148+1.885+0.03+0.775+0.03+0.185+1.22+2.365)+(0.626+0.291+1.147+0.291+4.106)+(0.882+0.341+1.156+0.341+1.224+0.341+1.156+0.341+1.224+0.341+1.156+0.341+1.224+0.341+1.156+0.341+0.772))*3.44</f>
        <v>122.85959999999999</v>
      </c>
      <c r="O460" s="1"/>
    </row>
    <row r="461" spans="2:15" s="12" customFormat="1">
      <c r="B461" s="146"/>
      <c r="D461" s="142" t="s">
        <v>95</v>
      </c>
      <c r="E461" s="147" t="s">
        <v>2</v>
      </c>
      <c r="F461" s="148" t="s">
        <v>96</v>
      </c>
      <c r="H461" s="149">
        <f>SUM(H450:H460)</f>
        <v>379.89458000000002</v>
      </c>
      <c r="O461" s="1"/>
    </row>
    <row r="462" spans="2:15" s="12" customFormat="1" ht="28.9" customHeight="1">
      <c r="B462" s="146"/>
      <c r="C462" s="135">
        <f>C449+1</f>
        <v>55</v>
      </c>
      <c r="D462" s="304" t="s">
        <v>65</v>
      </c>
      <c r="E462" s="305" t="s">
        <v>1572</v>
      </c>
      <c r="F462" s="306" t="s">
        <v>1573</v>
      </c>
      <c r="G462" s="307" t="s">
        <v>105</v>
      </c>
      <c r="H462" s="139">
        <f>H474</f>
        <v>110.49</v>
      </c>
      <c r="I462" s="90"/>
      <c r="J462" s="140">
        <f>ROUND(I462*H462,2)</f>
        <v>0</v>
      </c>
      <c r="K462" s="137"/>
      <c r="O462" s="1">
        <f>H462*0.02*1.864</f>
        <v>4.1190671999999999</v>
      </c>
    </row>
    <row r="463" spans="2:15" s="11" customFormat="1">
      <c r="B463" s="141"/>
      <c r="D463" s="142" t="s">
        <v>95</v>
      </c>
      <c r="E463" s="143" t="s">
        <v>2</v>
      </c>
      <c r="F463" s="144" t="s">
        <v>1481</v>
      </c>
      <c r="H463" s="145">
        <f>6.898</f>
        <v>6.8979999999999997</v>
      </c>
      <c r="O463" s="1"/>
    </row>
    <row r="464" spans="2:15" s="11" customFormat="1">
      <c r="B464" s="141"/>
      <c r="D464" s="142" t="s">
        <v>95</v>
      </c>
      <c r="E464" s="143" t="s">
        <v>2</v>
      </c>
      <c r="F464" s="144" t="s">
        <v>1482</v>
      </c>
      <c r="H464" s="145">
        <f>4.074</f>
        <v>4.0739999999999998</v>
      </c>
      <c r="O464" s="1"/>
    </row>
    <row r="465" spans="2:15" s="11" customFormat="1">
      <c r="B465" s="141"/>
      <c r="D465" s="142" t="s">
        <v>95</v>
      </c>
      <c r="E465" s="143" t="s">
        <v>2</v>
      </c>
      <c r="F465" s="144" t="s">
        <v>1483</v>
      </c>
      <c r="H465" s="145">
        <f>1.395</f>
        <v>1.395</v>
      </c>
      <c r="O465" s="1"/>
    </row>
    <row r="466" spans="2:15" s="11" customFormat="1">
      <c r="B466" s="141"/>
      <c r="D466" s="142" t="s">
        <v>95</v>
      </c>
      <c r="E466" s="143" t="s">
        <v>2</v>
      </c>
      <c r="F466" s="144" t="s">
        <v>1484</v>
      </c>
      <c r="H466" s="145">
        <f>4.245</f>
        <v>4.2450000000000001</v>
      </c>
      <c r="O466" s="1"/>
    </row>
    <row r="467" spans="2:15" s="11" customFormat="1">
      <c r="B467" s="141"/>
      <c r="D467" s="142" t="s">
        <v>95</v>
      </c>
      <c r="E467" s="143" t="s">
        <v>2</v>
      </c>
      <c r="F467" s="144" t="s">
        <v>1485</v>
      </c>
      <c r="H467" s="145">
        <f>14.712</f>
        <v>14.712</v>
      </c>
      <c r="O467" s="1"/>
    </row>
    <row r="468" spans="2:15" s="11" customFormat="1">
      <c r="B468" s="141"/>
      <c r="D468" s="142" t="s">
        <v>95</v>
      </c>
      <c r="E468" s="143" t="s">
        <v>2</v>
      </c>
      <c r="F468" s="144" t="s">
        <v>1486</v>
      </c>
      <c r="H468" s="145">
        <f>2.406</f>
        <v>2.4060000000000001</v>
      </c>
      <c r="O468" s="1"/>
    </row>
    <row r="469" spans="2:15" s="11" customFormat="1">
      <c r="B469" s="141"/>
      <c r="D469" s="142" t="s">
        <v>95</v>
      </c>
      <c r="E469" s="143" t="s">
        <v>2</v>
      </c>
      <c r="F469" s="144" t="s">
        <v>1490</v>
      </c>
      <c r="H469" s="145">
        <f>3.122</f>
        <v>3.1219999999999999</v>
      </c>
      <c r="O469" s="1"/>
    </row>
    <row r="470" spans="2:15" s="11" customFormat="1">
      <c r="B470" s="141"/>
      <c r="D470" s="142" t="s">
        <v>95</v>
      </c>
      <c r="E470" s="143" t="s">
        <v>2</v>
      </c>
      <c r="F470" s="144" t="s">
        <v>1494</v>
      </c>
      <c r="H470" s="145">
        <f>7.503</f>
        <v>7.5030000000000001</v>
      </c>
      <c r="O470" s="1"/>
    </row>
    <row r="471" spans="2:15" s="11" customFormat="1">
      <c r="B471" s="141"/>
      <c r="D471" s="142" t="s">
        <v>95</v>
      </c>
      <c r="E471" s="143" t="s">
        <v>2</v>
      </c>
      <c r="F471" s="144" t="s">
        <v>1495</v>
      </c>
      <c r="H471" s="145">
        <f>2.666</f>
        <v>2.6659999999999999</v>
      </c>
      <c r="O471" s="1"/>
    </row>
    <row r="472" spans="2:15" s="11" customFormat="1">
      <c r="B472" s="141"/>
      <c r="D472" s="142" t="s">
        <v>95</v>
      </c>
      <c r="E472" s="143" t="s">
        <v>2</v>
      </c>
      <c r="F472" s="144" t="s">
        <v>1496</v>
      </c>
      <c r="H472" s="145">
        <f>4.824</f>
        <v>4.8239999999999998</v>
      </c>
      <c r="O472" s="1"/>
    </row>
    <row r="473" spans="2:15" s="11" customFormat="1">
      <c r="B473" s="141"/>
      <c r="D473" s="142" t="s">
        <v>95</v>
      </c>
      <c r="E473" s="143" t="s">
        <v>2</v>
      </c>
      <c r="F473" s="144" t="s">
        <v>1497</v>
      </c>
      <c r="H473" s="145">
        <f>58.645</f>
        <v>58.645000000000003</v>
      </c>
      <c r="O473" s="1"/>
    </row>
    <row r="474" spans="2:15" s="12" customFormat="1">
      <c r="B474" s="146"/>
      <c r="D474" s="142" t="s">
        <v>95</v>
      </c>
      <c r="E474" s="147" t="s">
        <v>2</v>
      </c>
      <c r="F474" s="148" t="s">
        <v>96</v>
      </c>
      <c r="H474" s="149">
        <f>SUM(H463:H473)</f>
        <v>110.49</v>
      </c>
      <c r="O474" s="1"/>
    </row>
    <row r="475" spans="2:15" s="12" customFormat="1" ht="28.9" customHeight="1">
      <c r="B475" s="146"/>
      <c r="C475" s="135">
        <f>C462+1</f>
        <v>56</v>
      </c>
      <c r="D475" s="304" t="s">
        <v>65</v>
      </c>
      <c r="E475" s="305" t="s">
        <v>1057</v>
      </c>
      <c r="F475" s="306" t="s">
        <v>1058</v>
      </c>
      <c r="G475" s="307" t="s">
        <v>105</v>
      </c>
      <c r="H475" s="139">
        <f>H478</f>
        <v>42.285999999999994</v>
      </c>
      <c r="I475" s="90"/>
      <c r="J475" s="140">
        <f>ROUND(I475*H475,2)</f>
        <v>0</v>
      </c>
      <c r="K475" s="137"/>
      <c r="O475" s="1">
        <f>H475*0.025*0.75</f>
        <v>0.7928624999999998</v>
      </c>
    </row>
    <row r="476" spans="2:15" s="11" customFormat="1" ht="40.5">
      <c r="B476" s="141"/>
      <c r="D476" s="142" t="s">
        <v>95</v>
      </c>
      <c r="E476" s="143" t="s">
        <v>2</v>
      </c>
      <c r="F476" s="144" t="s">
        <v>1577</v>
      </c>
      <c r="H476" s="145">
        <f>(0.42+0.4+0.94+0.4+2.24+0.2+1.25+2.3+0.37+0.5+0.7+0.5+0.86+0.5+1.14+0.5+0.58+0.54+0.12+0.09+0.89+0.09+0.12+0.785+1.16+0.195)*1.9</f>
        <v>33.800999999999995</v>
      </c>
      <c r="O476" s="1"/>
    </row>
    <row r="477" spans="2:15" s="11" customFormat="1">
      <c r="B477" s="141"/>
      <c r="D477" s="142" t="s">
        <v>95</v>
      </c>
      <c r="E477" s="143" t="s">
        <v>2</v>
      </c>
      <c r="F477" s="144" t="s">
        <v>1576</v>
      </c>
      <c r="H477" s="145">
        <f>(1+0.147+0.1+0.9+0.1+0.147+1)*2.5</f>
        <v>8.4849999999999994</v>
      </c>
      <c r="O477" s="1"/>
    </row>
    <row r="478" spans="2:15" s="12" customFormat="1">
      <c r="B478" s="146"/>
      <c r="D478" s="142" t="s">
        <v>95</v>
      </c>
      <c r="E478" s="147" t="s">
        <v>2</v>
      </c>
      <c r="F478" s="148" t="s">
        <v>96</v>
      </c>
      <c r="H478" s="149">
        <f>SUM(H476:H477)</f>
        <v>42.285999999999994</v>
      </c>
      <c r="O478" s="1"/>
    </row>
    <row r="479" spans="2:15" s="12" customFormat="1" ht="28.9" customHeight="1">
      <c r="B479" s="146"/>
      <c r="C479" s="135">
        <f>C475+1</f>
        <v>57</v>
      </c>
      <c r="D479" s="304" t="s">
        <v>65</v>
      </c>
      <c r="E479" s="305" t="s">
        <v>1574</v>
      </c>
      <c r="F479" s="306" t="s">
        <v>1575</v>
      </c>
      <c r="G479" s="307" t="s">
        <v>105</v>
      </c>
      <c r="H479" s="139">
        <f>H481</f>
        <v>58.645000000000003</v>
      </c>
      <c r="I479" s="90"/>
      <c r="J479" s="140">
        <f>ROUND(I479*H479,2)</f>
        <v>0</v>
      </c>
      <c r="K479" s="137"/>
      <c r="O479" s="1">
        <f>H479*0.07*1.15</f>
        <v>4.7209225000000004</v>
      </c>
    </row>
    <row r="480" spans="2:15" s="11" customFormat="1">
      <c r="B480" s="141"/>
      <c r="D480" s="142" t="s">
        <v>95</v>
      </c>
      <c r="E480" s="143" t="s">
        <v>2</v>
      </c>
      <c r="F480" s="144" t="s">
        <v>1497</v>
      </c>
      <c r="H480" s="145">
        <f>58.645</f>
        <v>58.645000000000003</v>
      </c>
      <c r="O480" s="1"/>
    </row>
    <row r="481" spans="2:15" s="12" customFormat="1">
      <c r="B481" s="146"/>
      <c r="D481" s="142" t="s">
        <v>95</v>
      </c>
      <c r="E481" s="147" t="s">
        <v>2</v>
      </c>
      <c r="F481" s="148" t="s">
        <v>96</v>
      </c>
      <c r="H481" s="149">
        <f>SUM(H480:H480)</f>
        <v>58.645000000000003</v>
      </c>
      <c r="O481" s="1"/>
    </row>
    <row r="482" spans="2:15" s="12" customFormat="1" ht="28.9" customHeight="1">
      <c r="B482" s="146"/>
      <c r="C482" s="135">
        <f>C479+1</f>
        <v>58</v>
      </c>
      <c r="D482" s="304" t="s">
        <v>65</v>
      </c>
      <c r="E482" s="305" t="s">
        <v>1578</v>
      </c>
      <c r="F482" s="306" t="s">
        <v>1579</v>
      </c>
      <c r="G482" s="307" t="s">
        <v>105</v>
      </c>
      <c r="H482" s="139">
        <f>H484</f>
        <v>58.645000000000003</v>
      </c>
      <c r="I482" s="90"/>
      <c r="J482" s="140">
        <f>ROUND(I482*H482,2)</f>
        <v>0</v>
      </c>
      <c r="K482" s="137"/>
      <c r="O482" s="1">
        <f>H482*0.2*1.15</f>
        <v>13.488350000000001</v>
      </c>
    </row>
    <row r="483" spans="2:15" s="11" customFormat="1">
      <c r="B483" s="141"/>
      <c r="D483" s="142" t="s">
        <v>95</v>
      </c>
      <c r="E483" s="143" t="s">
        <v>2</v>
      </c>
      <c r="F483" s="144" t="s">
        <v>1497</v>
      </c>
      <c r="H483" s="145">
        <f>58.645</f>
        <v>58.645000000000003</v>
      </c>
      <c r="O483" s="1"/>
    </row>
    <row r="484" spans="2:15" s="12" customFormat="1">
      <c r="B484" s="146"/>
      <c r="D484" s="142" t="s">
        <v>95</v>
      </c>
      <c r="E484" s="147" t="s">
        <v>2</v>
      </c>
      <c r="F484" s="148" t="s">
        <v>96</v>
      </c>
      <c r="H484" s="149">
        <f>SUM(H483:H483)</f>
        <v>58.645000000000003</v>
      </c>
      <c r="O484" s="1"/>
    </row>
    <row r="485" spans="2:15" s="12" customFormat="1" ht="28.9" customHeight="1">
      <c r="B485" s="146"/>
      <c r="C485" s="135">
        <f>C482+1</f>
        <v>59</v>
      </c>
      <c r="D485" s="304" t="s">
        <v>65</v>
      </c>
      <c r="E485" s="305" t="s">
        <v>653</v>
      </c>
      <c r="F485" s="306" t="s">
        <v>1060</v>
      </c>
      <c r="G485" s="307" t="s">
        <v>155</v>
      </c>
      <c r="H485" s="139">
        <f>H491</f>
        <v>262.13</v>
      </c>
      <c r="I485" s="90"/>
      <c r="J485" s="140">
        <f>ROUND(I485*H485,2)</f>
        <v>0</v>
      </c>
      <c r="K485" s="137"/>
      <c r="O485" s="1">
        <f>H485*0.1*0.1*1.975</f>
        <v>5.1770675000000006</v>
      </c>
    </row>
    <row r="486" spans="2:15" s="11" customFormat="1">
      <c r="B486" s="141"/>
      <c r="D486" s="142" t="s">
        <v>95</v>
      </c>
      <c r="E486" s="143" t="s">
        <v>2</v>
      </c>
      <c r="F486" s="144" t="s">
        <v>1589</v>
      </c>
      <c r="H486" s="145">
        <f>(3.44*5)</f>
        <v>17.2</v>
      </c>
      <c r="O486" s="1"/>
    </row>
    <row r="487" spans="2:15" s="11" customFormat="1">
      <c r="B487" s="141"/>
      <c r="D487" s="142" t="s">
        <v>95</v>
      </c>
      <c r="E487" s="143" t="s">
        <v>2</v>
      </c>
      <c r="F487" s="144" t="s">
        <v>1581</v>
      </c>
      <c r="H487" s="145">
        <f>30</f>
        <v>30</v>
      </c>
      <c r="O487" s="1"/>
    </row>
    <row r="488" spans="2:15" s="11" customFormat="1">
      <c r="B488" s="141"/>
      <c r="D488" s="142" t="s">
        <v>95</v>
      </c>
      <c r="E488" s="143" t="s">
        <v>2</v>
      </c>
      <c r="F488" s="144" t="s">
        <v>1582</v>
      </c>
      <c r="H488" s="145">
        <f>4+5.88+9.95+5.88+4.12+2*2+1.76+2+0.34+2</f>
        <v>39.93</v>
      </c>
      <c r="O488" s="1"/>
    </row>
    <row r="489" spans="2:15" s="11" customFormat="1">
      <c r="B489" s="141"/>
      <c r="D489" s="142" t="s">
        <v>95</v>
      </c>
      <c r="E489" s="143" t="s">
        <v>2</v>
      </c>
      <c r="F489" s="144" t="s">
        <v>1583</v>
      </c>
      <c r="H489" s="145">
        <f>40*4</f>
        <v>160</v>
      </c>
      <c r="O489" s="1"/>
    </row>
    <row r="490" spans="2:15" s="11" customFormat="1">
      <c r="B490" s="141"/>
      <c r="D490" s="142" t="s">
        <v>95</v>
      </c>
      <c r="E490" s="143" t="s">
        <v>2</v>
      </c>
      <c r="F490" s="144" t="s">
        <v>1584</v>
      </c>
      <c r="H490" s="145">
        <f>15</f>
        <v>15</v>
      </c>
      <c r="O490" s="1"/>
    </row>
    <row r="491" spans="2:15" s="12" customFormat="1">
      <c r="B491" s="146"/>
      <c r="D491" s="142" t="s">
        <v>95</v>
      </c>
      <c r="E491" s="147" t="s">
        <v>2</v>
      </c>
      <c r="F491" s="148" t="s">
        <v>96</v>
      </c>
      <c r="H491" s="149">
        <f>SUM(H486:H490)</f>
        <v>262.13</v>
      </c>
      <c r="O491" s="1"/>
    </row>
    <row r="492" spans="2:15" s="12" customFormat="1" ht="28.9" customHeight="1">
      <c r="B492" s="146"/>
      <c r="C492" s="135">
        <f>C485+1</f>
        <v>60</v>
      </c>
      <c r="D492" s="304" t="s">
        <v>65</v>
      </c>
      <c r="E492" s="305" t="s">
        <v>1065</v>
      </c>
      <c r="F492" s="306" t="s">
        <v>1066</v>
      </c>
      <c r="G492" s="307" t="s">
        <v>265</v>
      </c>
      <c r="H492" s="139">
        <f>H498</f>
        <v>96</v>
      </c>
      <c r="I492" s="90"/>
      <c r="J492" s="140">
        <f>ROUND(I492*H492,2)</f>
        <v>0</v>
      </c>
      <c r="K492" s="137"/>
      <c r="O492" s="1">
        <f>H492*0.0225*0.3*1.975</f>
        <v>1.2798</v>
      </c>
    </row>
    <row r="493" spans="2:15" s="11" customFormat="1">
      <c r="B493" s="141"/>
      <c r="D493" s="142" t="s">
        <v>95</v>
      </c>
      <c r="E493" s="143" t="s">
        <v>2</v>
      </c>
      <c r="F493" s="144" t="s">
        <v>1588</v>
      </c>
      <c r="H493" s="145">
        <f>20</f>
        <v>20</v>
      </c>
      <c r="O493" s="1"/>
    </row>
    <row r="494" spans="2:15" s="11" customFormat="1">
      <c r="B494" s="141"/>
      <c r="D494" s="142" t="s">
        <v>95</v>
      </c>
      <c r="E494" s="143" t="s">
        <v>2</v>
      </c>
      <c r="F494" s="144" t="s">
        <v>1585</v>
      </c>
      <c r="H494" s="145">
        <f>6</f>
        <v>6</v>
      </c>
      <c r="O494" s="1"/>
    </row>
    <row r="495" spans="2:15" s="11" customFormat="1">
      <c r="B495" s="141"/>
      <c r="D495" s="142" t="s">
        <v>95</v>
      </c>
      <c r="E495" s="143" t="s">
        <v>2</v>
      </c>
      <c r="F495" s="144" t="s">
        <v>1586</v>
      </c>
      <c r="H495" s="145">
        <f>8</f>
        <v>8</v>
      </c>
      <c r="O495" s="1"/>
    </row>
    <row r="496" spans="2:15" s="11" customFormat="1">
      <c r="B496" s="141"/>
      <c r="D496" s="142" t="s">
        <v>95</v>
      </c>
      <c r="E496" s="143" t="s">
        <v>2</v>
      </c>
      <c r="F496" s="144" t="s">
        <v>1587</v>
      </c>
      <c r="H496" s="145">
        <f>10*6</f>
        <v>60</v>
      </c>
      <c r="O496" s="1"/>
    </row>
    <row r="497" spans="2:15" s="11" customFormat="1">
      <c r="B497" s="141"/>
      <c r="D497" s="142" t="s">
        <v>95</v>
      </c>
      <c r="E497" s="143" t="s">
        <v>2</v>
      </c>
      <c r="F497" s="144" t="s">
        <v>1070</v>
      </c>
      <c r="H497" s="145">
        <f>2</f>
        <v>2</v>
      </c>
      <c r="O497" s="1"/>
    </row>
    <row r="498" spans="2:15" s="12" customFormat="1">
      <c r="B498" s="146"/>
      <c r="D498" s="142" t="s">
        <v>95</v>
      </c>
      <c r="E498" s="147" t="s">
        <v>2</v>
      </c>
      <c r="F498" s="148" t="s">
        <v>96</v>
      </c>
      <c r="H498" s="149">
        <f>SUM(H493:H497)</f>
        <v>96</v>
      </c>
      <c r="O498" s="1"/>
    </row>
    <row r="499" spans="2:15" s="12" customFormat="1" ht="28.9" customHeight="1">
      <c r="B499" s="146"/>
      <c r="C499" s="135">
        <f>C492+1</f>
        <v>61</v>
      </c>
      <c r="D499" s="304" t="s">
        <v>65</v>
      </c>
      <c r="E499" s="305" t="s">
        <v>1032</v>
      </c>
      <c r="F499" s="306" t="s">
        <v>1590</v>
      </c>
      <c r="G499" s="307" t="s">
        <v>265</v>
      </c>
      <c r="H499" s="139">
        <f>H501</f>
        <v>9</v>
      </c>
      <c r="I499" s="90"/>
      <c r="J499" s="140">
        <f>ROUND(I499*H499,2)</f>
        <v>0</v>
      </c>
      <c r="K499" s="137"/>
      <c r="O499" s="1">
        <f>H499*0.025</f>
        <v>0.22500000000000001</v>
      </c>
    </row>
    <row r="500" spans="2:15" s="11" customFormat="1">
      <c r="B500" s="141"/>
      <c r="D500" s="142" t="s">
        <v>95</v>
      </c>
      <c r="E500" s="143" t="s">
        <v>2</v>
      </c>
      <c r="F500" s="144" t="s">
        <v>2599</v>
      </c>
      <c r="H500" s="145">
        <f>7+2</f>
        <v>9</v>
      </c>
      <c r="O500" s="1"/>
    </row>
    <row r="501" spans="2:15" s="12" customFormat="1">
      <c r="B501" s="146"/>
      <c r="D501" s="142" t="s">
        <v>95</v>
      </c>
      <c r="E501" s="147" t="s">
        <v>2</v>
      </c>
      <c r="F501" s="148" t="s">
        <v>96</v>
      </c>
      <c r="H501" s="149">
        <f>SUM(H500:H500)</f>
        <v>9</v>
      </c>
      <c r="O501" s="1"/>
    </row>
    <row r="502" spans="2:15" s="12" customFormat="1" ht="28.9" customHeight="1">
      <c r="B502" s="146"/>
      <c r="C502" s="135">
        <f>C499+1</f>
        <v>62</v>
      </c>
      <c r="D502" s="304" t="s">
        <v>65</v>
      </c>
      <c r="E502" s="305" t="s">
        <v>1591</v>
      </c>
      <c r="F502" s="306" t="s">
        <v>1592</v>
      </c>
      <c r="G502" s="307" t="s">
        <v>265</v>
      </c>
      <c r="H502" s="139">
        <f>H504</f>
        <v>5</v>
      </c>
      <c r="I502" s="90"/>
      <c r="J502" s="140">
        <f>ROUND(I502*H502,2)</f>
        <v>0</v>
      </c>
      <c r="K502" s="137"/>
      <c r="O502" s="1">
        <f>H502*0.057</f>
        <v>0.28500000000000003</v>
      </c>
    </row>
    <row r="503" spans="2:15" s="11" customFormat="1">
      <c r="B503" s="141"/>
      <c r="D503" s="142" t="s">
        <v>95</v>
      </c>
      <c r="E503" s="143" t="s">
        <v>2</v>
      </c>
      <c r="F503" s="144" t="s">
        <v>2339</v>
      </c>
      <c r="H503" s="145">
        <f>5</f>
        <v>5</v>
      </c>
      <c r="O503" s="1"/>
    </row>
    <row r="504" spans="2:15" s="12" customFormat="1">
      <c r="B504" s="146"/>
      <c r="D504" s="142" t="s">
        <v>95</v>
      </c>
      <c r="E504" s="147" t="s">
        <v>2</v>
      </c>
      <c r="F504" s="148" t="s">
        <v>96</v>
      </c>
      <c r="H504" s="149">
        <f>SUM(H503:H503)</f>
        <v>5</v>
      </c>
      <c r="O504" s="1"/>
    </row>
    <row r="505" spans="2:15" s="12" customFormat="1" ht="28.9" customHeight="1">
      <c r="B505" s="146"/>
      <c r="C505" s="135">
        <f>C502+1</f>
        <v>63</v>
      </c>
      <c r="D505" s="304" t="s">
        <v>65</v>
      </c>
      <c r="E505" s="305" t="s">
        <v>1593</v>
      </c>
      <c r="F505" s="306" t="s">
        <v>1594</v>
      </c>
      <c r="G505" s="307" t="s">
        <v>265</v>
      </c>
      <c r="H505" s="139">
        <f>H507</f>
        <v>2</v>
      </c>
      <c r="I505" s="90"/>
      <c r="J505" s="140">
        <f>ROUND(I505*H505,2)</f>
        <v>0</v>
      </c>
      <c r="K505" s="137"/>
      <c r="O505" s="1">
        <f>H505*0.082</f>
        <v>0.16400000000000001</v>
      </c>
    </row>
    <row r="506" spans="2:15" s="11" customFormat="1">
      <c r="B506" s="141"/>
      <c r="D506" s="142" t="s">
        <v>95</v>
      </c>
      <c r="E506" s="143" t="s">
        <v>2</v>
      </c>
      <c r="F506" s="144" t="s">
        <v>1595</v>
      </c>
      <c r="H506" s="145">
        <f>2</f>
        <v>2</v>
      </c>
      <c r="O506" s="1"/>
    </row>
    <row r="507" spans="2:15" s="12" customFormat="1">
      <c r="B507" s="146"/>
      <c r="D507" s="142" t="s">
        <v>95</v>
      </c>
      <c r="E507" s="147" t="s">
        <v>2</v>
      </c>
      <c r="F507" s="148" t="s">
        <v>96</v>
      </c>
      <c r="H507" s="149">
        <f>SUM(H506:H506)</f>
        <v>2</v>
      </c>
      <c r="O507" s="1"/>
    </row>
    <row r="508" spans="2:15" s="12" customFormat="1" ht="28.9" customHeight="1">
      <c r="B508" s="146"/>
      <c r="C508" s="135">
        <f>C505+1</f>
        <v>64</v>
      </c>
      <c r="D508" s="304" t="s">
        <v>65</v>
      </c>
      <c r="E508" s="305" t="s">
        <v>1602</v>
      </c>
      <c r="F508" s="306" t="s">
        <v>1601</v>
      </c>
      <c r="G508" s="307" t="s">
        <v>105</v>
      </c>
      <c r="H508" s="139">
        <f>H517</f>
        <v>43.466999999999992</v>
      </c>
      <c r="I508" s="90"/>
      <c r="J508" s="140">
        <f>ROUND(I508*H508,2)</f>
        <v>0</v>
      </c>
      <c r="K508" s="137"/>
      <c r="O508" s="1">
        <f>H508*0.03*2.15</f>
        <v>2.8036214999999993</v>
      </c>
    </row>
    <row r="509" spans="2:15" s="11" customFormat="1">
      <c r="B509" s="141"/>
      <c r="D509" s="142" t="s">
        <v>95</v>
      </c>
      <c r="E509" s="143" t="s">
        <v>2</v>
      </c>
      <c r="F509" s="144" t="s">
        <v>1481</v>
      </c>
      <c r="H509" s="145">
        <f>6.898</f>
        <v>6.8979999999999997</v>
      </c>
      <c r="O509" s="1"/>
    </row>
    <row r="510" spans="2:15" s="11" customFormat="1">
      <c r="B510" s="141"/>
      <c r="D510" s="142" t="s">
        <v>95</v>
      </c>
      <c r="E510" s="143" t="s">
        <v>2</v>
      </c>
      <c r="F510" s="144" t="s">
        <v>1482</v>
      </c>
      <c r="H510" s="145">
        <f>4.074</f>
        <v>4.0739999999999998</v>
      </c>
      <c r="O510" s="1"/>
    </row>
    <row r="511" spans="2:15" s="11" customFormat="1">
      <c r="B511" s="141"/>
      <c r="D511" s="142" t="s">
        <v>95</v>
      </c>
      <c r="E511" s="143" t="s">
        <v>2</v>
      </c>
      <c r="F511" s="144" t="s">
        <v>1483</v>
      </c>
      <c r="H511" s="145">
        <f>1.395</f>
        <v>1.395</v>
      </c>
      <c r="O511" s="1"/>
    </row>
    <row r="512" spans="2:15" s="11" customFormat="1">
      <c r="B512" s="141"/>
      <c r="D512" s="142" t="s">
        <v>95</v>
      </c>
      <c r="E512" s="143" t="s">
        <v>2</v>
      </c>
      <c r="F512" s="144" t="s">
        <v>2330</v>
      </c>
      <c r="H512" s="145">
        <f>1.395</f>
        <v>1.395</v>
      </c>
      <c r="O512" s="1"/>
    </row>
    <row r="513" spans="2:15" s="11" customFormat="1">
      <c r="B513" s="141"/>
      <c r="D513" s="142" t="s">
        <v>95</v>
      </c>
      <c r="E513" s="143" t="s">
        <v>2</v>
      </c>
      <c r="F513" s="144" t="s">
        <v>1485</v>
      </c>
      <c r="H513" s="145">
        <f>14.712</f>
        <v>14.712</v>
      </c>
      <c r="O513" s="1"/>
    </row>
    <row r="514" spans="2:15" s="11" customFormat="1">
      <c r="B514" s="141"/>
      <c r="D514" s="142" t="s">
        <v>95</v>
      </c>
      <c r="E514" s="143" t="s">
        <v>2</v>
      </c>
      <c r="F514" s="144" t="s">
        <v>1494</v>
      </c>
      <c r="H514" s="145">
        <f>7.503</f>
        <v>7.5030000000000001</v>
      </c>
      <c r="O514" s="1"/>
    </row>
    <row r="515" spans="2:15" s="11" customFormat="1">
      <c r="B515" s="141"/>
      <c r="D515" s="142" t="s">
        <v>95</v>
      </c>
      <c r="E515" s="143" t="s">
        <v>2</v>
      </c>
      <c r="F515" s="144" t="s">
        <v>1495</v>
      </c>
      <c r="H515" s="145">
        <f>2.666</f>
        <v>2.6659999999999999</v>
      </c>
      <c r="O515" s="1"/>
    </row>
    <row r="516" spans="2:15" s="11" customFormat="1">
      <c r="B516" s="141"/>
      <c r="D516" s="142" t="s">
        <v>95</v>
      </c>
      <c r="E516" s="143" t="s">
        <v>2</v>
      </c>
      <c r="F516" s="144" t="s">
        <v>1496</v>
      </c>
      <c r="H516" s="145">
        <f>4.824</f>
        <v>4.8239999999999998</v>
      </c>
      <c r="O516" s="1"/>
    </row>
    <row r="517" spans="2:15" s="12" customFormat="1">
      <c r="B517" s="146"/>
      <c r="D517" s="142" t="s">
        <v>95</v>
      </c>
      <c r="E517" s="147" t="s">
        <v>2</v>
      </c>
      <c r="F517" s="148" t="s">
        <v>96</v>
      </c>
      <c r="H517" s="149">
        <f>SUM(H509:H516)</f>
        <v>43.466999999999992</v>
      </c>
      <c r="O517" s="1"/>
    </row>
    <row r="518" spans="2:15" s="12" customFormat="1" ht="28.9" customHeight="1">
      <c r="B518" s="146"/>
      <c r="C518" s="135">
        <f>C508+1</f>
        <v>65</v>
      </c>
      <c r="D518" s="304" t="s">
        <v>65</v>
      </c>
      <c r="E518" s="305" t="s">
        <v>1605</v>
      </c>
      <c r="F518" s="306" t="s">
        <v>1606</v>
      </c>
      <c r="G518" s="307" t="s">
        <v>94</v>
      </c>
      <c r="H518" s="139">
        <f>H527</f>
        <v>5.2160399999999996</v>
      </c>
      <c r="I518" s="90"/>
      <c r="J518" s="140">
        <f>ROUND(I518*H518,2)</f>
        <v>0</v>
      </c>
      <c r="K518" s="137"/>
      <c r="O518" s="1">
        <f>H518*2.275</f>
        <v>11.866490999999998</v>
      </c>
    </row>
    <row r="519" spans="2:15" s="11" customFormat="1">
      <c r="B519" s="141"/>
      <c r="D519" s="142" t="s">
        <v>95</v>
      </c>
      <c r="E519" s="143" t="s">
        <v>2</v>
      </c>
      <c r="F519" s="144" t="s">
        <v>1607</v>
      </c>
      <c r="H519" s="145">
        <f>6.898*0.12</f>
        <v>0.82775999999999994</v>
      </c>
      <c r="O519" s="1"/>
    </row>
    <row r="520" spans="2:15" s="11" customFormat="1">
      <c r="B520" s="141"/>
      <c r="D520" s="142" t="s">
        <v>95</v>
      </c>
      <c r="E520" s="143" t="s">
        <v>2</v>
      </c>
      <c r="F520" s="144" t="s">
        <v>1608</v>
      </c>
      <c r="H520" s="145">
        <f>4.074*0.12</f>
        <v>0.48887999999999998</v>
      </c>
      <c r="O520" s="1"/>
    </row>
    <row r="521" spans="2:15" s="11" customFormat="1">
      <c r="B521" s="141"/>
      <c r="D521" s="142" t="s">
        <v>95</v>
      </c>
      <c r="E521" s="143" t="s">
        <v>2</v>
      </c>
      <c r="F521" s="144" t="s">
        <v>1609</v>
      </c>
      <c r="H521" s="145">
        <f>1.395*0.12</f>
        <v>0.16739999999999999</v>
      </c>
      <c r="O521" s="1"/>
    </row>
    <row r="522" spans="2:15" s="11" customFormat="1">
      <c r="B522" s="141"/>
      <c r="D522" s="142" t="s">
        <v>95</v>
      </c>
      <c r="E522" s="143" t="s">
        <v>2</v>
      </c>
      <c r="F522" s="144" t="s">
        <v>2340</v>
      </c>
      <c r="H522" s="145">
        <f>1.395*0.12</f>
        <v>0.16739999999999999</v>
      </c>
      <c r="O522" s="1"/>
    </row>
    <row r="523" spans="2:15" s="11" customFormat="1">
      <c r="B523" s="141"/>
      <c r="D523" s="142" t="s">
        <v>95</v>
      </c>
      <c r="E523" s="143" t="s">
        <v>2</v>
      </c>
      <c r="F523" s="144" t="s">
        <v>1610</v>
      </c>
      <c r="H523" s="145">
        <f>14.712*0.12</f>
        <v>1.7654399999999999</v>
      </c>
      <c r="O523" s="1"/>
    </row>
    <row r="524" spans="2:15" s="11" customFormat="1">
      <c r="B524" s="141"/>
      <c r="D524" s="142" t="s">
        <v>95</v>
      </c>
      <c r="E524" s="143" t="s">
        <v>2</v>
      </c>
      <c r="F524" s="144" t="s">
        <v>1611</v>
      </c>
      <c r="H524" s="145">
        <f>7.503*0.12</f>
        <v>0.90035999999999994</v>
      </c>
      <c r="O524" s="1"/>
    </row>
    <row r="525" spans="2:15" s="11" customFormat="1">
      <c r="B525" s="141"/>
      <c r="D525" s="142" t="s">
        <v>95</v>
      </c>
      <c r="E525" s="143" t="s">
        <v>2</v>
      </c>
      <c r="F525" s="144" t="s">
        <v>1612</v>
      </c>
      <c r="H525" s="145">
        <f>2.666*0.12</f>
        <v>0.31991999999999998</v>
      </c>
      <c r="O525" s="1"/>
    </row>
    <row r="526" spans="2:15" s="11" customFormat="1">
      <c r="B526" s="141"/>
      <c r="D526" s="142" t="s">
        <v>95</v>
      </c>
      <c r="E526" s="143" t="s">
        <v>2</v>
      </c>
      <c r="F526" s="144" t="s">
        <v>1613</v>
      </c>
      <c r="H526" s="145">
        <f>4.824*0.12</f>
        <v>0.57887999999999995</v>
      </c>
      <c r="O526" s="1"/>
    </row>
    <row r="527" spans="2:15" s="12" customFormat="1">
      <c r="B527" s="146"/>
      <c r="D527" s="142" t="s">
        <v>95</v>
      </c>
      <c r="E527" s="147" t="s">
        <v>2</v>
      </c>
      <c r="F527" s="148" t="s">
        <v>96</v>
      </c>
      <c r="H527" s="149">
        <f>SUM(H519:H526)</f>
        <v>5.2160399999999996</v>
      </c>
      <c r="O527" s="1"/>
    </row>
    <row r="528" spans="2:15" s="12" customFormat="1" ht="28.9" customHeight="1">
      <c r="B528" s="146"/>
      <c r="C528" s="135">
        <f>C518+1</f>
        <v>66</v>
      </c>
      <c r="D528" s="304" t="s">
        <v>65</v>
      </c>
      <c r="E528" s="305" t="s">
        <v>1603</v>
      </c>
      <c r="F528" s="306" t="s">
        <v>1604</v>
      </c>
      <c r="G528" s="307" t="s">
        <v>105</v>
      </c>
      <c r="H528" s="139">
        <f>H536</f>
        <v>8.6665499999999991</v>
      </c>
      <c r="I528" s="90"/>
      <c r="J528" s="140">
        <f>ROUND(I528*H528,2)</f>
        <v>0</v>
      </c>
      <c r="K528" s="137"/>
      <c r="O528" s="1">
        <f>H528*0.03*2.15</f>
        <v>0.55899247499999993</v>
      </c>
    </row>
    <row r="529" spans="2:15" s="11" customFormat="1" ht="27">
      <c r="B529" s="141"/>
      <c r="D529" s="142" t="s">
        <v>95</v>
      </c>
      <c r="E529" s="143" t="s">
        <v>2</v>
      </c>
      <c r="F529" s="144" t="s">
        <v>1614</v>
      </c>
      <c r="H529" s="145">
        <f>(0.1+0.2+1.525+0.59+0.2+1.11+0.51+0.2+3.09+1.9+0.885+0.2+0.1)*0.1</f>
        <v>1.0609999999999999</v>
      </c>
      <c r="O529" s="1"/>
    </row>
    <row r="530" spans="2:15" s="11" customFormat="1">
      <c r="B530" s="141"/>
      <c r="D530" s="142" t="s">
        <v>95</v>
      </c>
      <c r="E530" s="143" t="s">
        <v>2</v>
      </c>
      <c r="F530" s="144" t="s">
        <v>1461</v>
      </c>
      <c r="H530" s="145">
        <f>(0.35+1.7+0.5+0.5+0.58+1.7+0.38+0.35)*0.15</f>
        <v>0.90899999999999992</v>
      </c>
      <c r="I530" s="145"/>
      <c r="O530" s="1"/>
    </row>
    <row r="531" spans="2:15" s="11" customFormat="1">
      <c r="B531" s="141"/>
      <c r="D531" s="142" t="s">
        <v>95</v>
      </c>
      <c r="E531" s="143" t="s">
        <v>2</v>
      </c>
      <c r="F531" s="144" t="s">
        <v>2341</v>
      </c>
      <c r="H531" s="145">
        <f>0.5*2</f>
        <v>1</v>
      </c>
      <c r="O531" s="1"/>
    </row>
    <row r="532" spans="2:15" s="11" customFormat="1" ht="40.5">
      <c r="B532" s="141"/>
      <c r="D532" s="142" t="s">
        <v>95</v>
      </c>
      <c r="E532" s="143" t="s">
        <v>2</v>
      </c>
      <c r="F532" s="144" t="s">
        <v>1467</v>
      </c>
      <c r="H532" s="145">
        <f>(0.42+0.4+0.94+0.4+2.24+0.2+1.25+2.3+0.37+0.5+0.7+0.5+0.86+0.5+1.14+0.5+0.58+0.54+0.12+0.09+0.89+0.09+0.12+0.785+1.16+0.195)*0.15</f>
        <v>2.6684999999999999</v>
      </c>
      <c r="O532" s="1"/>
    </row>
    <row r="533" spans="2:15" s="11" customFormat="1">
      <c r="B533" s="141"/>
      <c r="D533" s="142" t="s">
        <v>95</v>
      </c>
      <c r="E533" s="143" t="s">
        <v>2</v>
      </c>
      <c r="F533" s="144" t="s">
        <v>1488</v>
      </c>
      <c r="H533" s="145">
        <f>(0.893+0.2+1.25+1)*0.15</f>
        <v>0.50144999999999995</v>
      </c>
      <c r="O533" s="1"/>
    </row>
    <row r="534" spans="2:15" s="11" customFormat="1">
      <c r="B534" s="141"/>
      <c r="D534" s="142" t="s">
        <v>95</v>
      </c>
      <c r="E534" s="143" t="s">
        <v>2</v>
      </c>
      <c r="F534" s="144" t="s">
        <v>1492</v>
      </c>
      <c r="H534" s="145">
        <f>(1+0.147+0.1+0.9+0.1+0.147+1)*0.15</f>
        <v>0.5091</v>
      </c>
      <c r="O534" s="1"/>
    </row>
    <row r="535" spans="2:15" s="11" customFormat="1" ht="27">
      <c r="B535" s="141"/>
      <c r="D535" s="142" t="s">
        <v>95</v>
      </c>
      <c r="E535" s="143" t="s">
        <v>2</v>
      </c>
      <c r="F535" s="144" t="s">
        <v>1468</v>
      </c>
      <c r="H535" s="145">
        <f>(2.33+0.25+1.175+0.25+0.535+0.2+1.25+0.2+2.295+0.34+1.33+0.34+0.415+0.265+0.445+1.22+0.445+0.165)*0.15</f>
        <v>2.0174999999999996</v>
      </c>
      <c r="O535" s="1"/>
    </row>
    <row r="536" spans="2:15" s="12" customFormat="1">
      <c r="B536" s="146"/>
      <c r="D536" s="142" t="s">
        <v>95</v>
      </c>
      <c r="E536" s="147" t="s">
        <v>2</v>
      </c>
      <c r="F536" s="148" t="s">
        <v>96</v>
      </c>
      <c r="H536" s="149">
        <f>SUM(H529:H535)</f>
        <v>8.6665499999999991</v>
      </c>
      <c r="O536" s="1"/>
    </row>
    <row r="537" spans="2:15" s="12" customFormat="1" ht="28.9" customHeight="1">
      <c r="B537" s="146"/>
      <c r="C537" s="135">
        <f>C528+1</f>
        <v>67</v>
      </c>
      <c r="D537" s="304" t="s">
        <v>65</v>
      </c>
      <c r="E537" s="305" t="s">
        <v>1600</v>
      </c>
      <c r="F537" s="306" t="s">
        <v>1599</v>
      </c>
      <c r="G537" s="307" t="s">
        <v>105</v>
      </c>
      <c r="H537" s="139">
        <f>H545</f>
        <v>48.235500000000002</v>
      </c>
      <c r="I537" s="90"/>
      <c r="J537" s="140">
        <f>ROUND(I537*H537,2)</f>
        <v>0</v>
      </c>
      <c r="K537" s="137"/>
      <c r="O537" s="1">
        <f>H537*0.03*2.15</f>
        <v>3.1111897499999999</v>
      </c>
    </row>
    <row r="538" spans="2:15" s="11" customFormat="1">
      <c r="B538" s="141"/>
      <c r="D538" s="142" t="s">
        <v>95</v>
      </c>
      <c r="E538" s="143" t="s">
        <v>2</v>
      </c>
      <c r="F538" s="144" t="s">
        <v>1481</v>
      </c>
      <c r="H538" s="145">
        <f>6.898</f>
        <v>6.8979999999999997</v>
      </c>
      <c r="O538" s="1"/>
    </row>
    <row r="539" spans="2:15" s="11" customFormat="1">
      <c r="B539" s="141"/>
      <c r="D539" s="142" t="s">
        <v>95</v>
      </c>
      <c r="E539" s="143" t="s">
        <v>2</v>
      </c>
      <c r="F539" s="144" t="s">
        <v>1482</v>
      </c>
      <c r="H539" s="145">
        <f>4.074</f>
        <v>4.0739999999999998</v>
      </c>
      <c r="O539" s="1"/>
    </row>
    <row r="540" spans="2:15" s="11" customFormat="1">
      <c r="B540" s="141"/>
      <c r="D540" s="142" t="s">
        <v>95</v>
      </c>
      <c r="E540" s="143" t="s">
        <v>2</v>
      </c>
      <c r="F540" s="144" t="s">
        <v>1483</v>
      </c>
      <c r="H540" s="145">
        <f>1.395</f>
        <v>1.395</v>
      </c>
      <c r="O540" s="1"/>
    </row>
    <row r="541" spans="2:15" s="11" customFormat="1">
      <c r="B541" s="141"/>
      <c r="D541" s="142" t="s">
        <v>95</v>
      </c>
      <c r="E541" s="143" t="s">
        <v>2</v>
      </c>
      <c r="F541" s="144" t="s">
        <v>2341</v>
      </c>
      <c r="H541" s="145">
        <f>0.5*2</f>
        <v>1</v>
      </c>
      <c r="O541" s="1"/>
    </row>
    <row r="542" spans="2:15" s="11" customFormat="1">
      <c r="B542" s="141"/>
      <c r="D542" s="142" t="s">
        <v>95</v>
      </c>
      <c r="E542" s="143" t="s">
        <v>2</v>
      </c>
      <c r="F542" s="144" t="s">
        <v>1615</v>
      </c>
      <c r="H542" s="145">
        <f>(1.515+1.76+0.37+0.5+0.7+0.5+0.445)*2.15</f>
        <v>12.448499999999999</v>
      </c>
      <c r="O542" s="1"/>
    </row>
    <row r="543" spans="2:15" s="11" customFormat="1" ht="27">
      <c r="B543" s="141"/>
      <c r="D543" s="142" t="s">
        <v>95</v>
      </c>
      <c r="E543" s="143" t="s">
        <v>2</v>
      </c>
      <c r="F543" s="144" t="s">
        <v>1616</v>
      </c>
      <c r="H543" s="145">
        <f>(0.415+0.34+1.33+0.34+0.415+0.415+0.5+1.14+0.5+0.605+1.76)*2.15</f>
        <v>16.683999999999997</v>
      </c>
      <c r="O543" s="1"/>
    </row>
    <row r="544" spans="2:15" s="11" customFormat="1">
      <c r="B544" s="141"/>
      <c r="D544" s="142" t="s">
        <v>95</v>
      </c>
      <c r="E544" s="143" t="s">
        <v>2</v>
      </c>
      <c r="F544" s="144" t="s">
        <v>1617</v>
      </c>
      <c r="H544" s="145">
        <f>(1.22+2.365)*1.6</f>
        <v>5.7360000000000007</v>
      </c>
      <c r="O544" s="1"/>
    </row>
    <row r="545" spans="2:15" s="12" customFormat="1">
      <c r="B545" s="146"/>
      <c r="D545" s="142" t="s">
        <v>95</v>
      </c>
      <c r="E545" s="147" t="s">
        <v>2</v>
      </c>
      <c r="F545" s="148" t="s">
        <v>96</v>
      </c>
      <c r="H545" s="149">
        <f>SUM(H538:H544)</f>
        <v>48.235500000000002</v>
      </c>
      <c r="O545" s="1"/>
    </row>
    <row r="546" spans="2:15" s="12" customFormat="1" ht="28.9" customHeight="1">
      <c r="B546" s="146"/>
      <c r="C546" s="135">
        <f>C537+1</f>
        <v>68</v>
      </c>
      <c r="D546" s="304" t="s">
        <v>65</v>
      </c>
      <c r="E546" s="305" t="s">
        <v>1618</v>
      </c>
      <c r="F546" s="306" t="s">
        <v>1619</v>
      </c>
      <c r="G546" s="307" t="s">
        <v>94</v>
      </c>
      <c r="H546" s="139">
        <f>H556</f>
        <v>9.225950000000001</v>
      </c>
      <c r="I546" s="90"/>
      <c r="J546" s="140">
        <f>ROUND(I546*H546,2)</f>
        <v>0</v>
      </c>
      <c r="K546" s="137"/>
      <c r="O546" s="1">
        <f>H546*1.873</f>
        <v>17.280204350000002</v>
      </c>
    </row>
    <row r="547" spans="2:15" s="11" customFormat="1">
      <c r="B547" s="141"/>
      <c r="D547" s="142" t="s">
        <v>95</v>
      </c>
      <c r="E547" s="143" t="s">
        <v>2</v>
      </c>
      <c r="F547" s="144" t="s">
        <v>1621</v>
      </c>
      <c r="H547" s="145">
        <f>(1.11*3.06*0.15)</f>
        <v>0.50949</v>
      </c>
      <c r="O547" s="1"/>
    </row>
    <row r="548" spans="2:15" s="11" customFormat="1">
      <c r="B548" s="141"/>
      <c r="D548" s="142" t="s">
        <v>95</v>
      </c>
      <c r="E548" s="143" t="s">
        <v>2</v>
      </c>
      <c r="F548" s="144" t="s">
        <v>1622</v>
      </c>
      <c r="H548" s="145">
        <f>(1.33*2.67*0.35)</f>
        <v>1.2428849999999998</v>
      </c>
      <c r="O548" s="1"/>
    </row>
    <row r="549" spans="2:15" s="11" customFormat="1">
      <c r="B549" s="141"/>
      <c r="D549" s="142" t="s">
        <v>95</v>
      </c>
      <c r="E549" s="143" t="s">
        <v>2</v>
      </c>
      <c r="F549" s="144" t="s">
        <v>1620</v>
      </c>
      <c r="H549" s="145">
        <f>(1.15*3.06*0.1)</f>
        <v>0.35189999999999999</v>
      </c>
      <c r="O549" s="1"/>
    </row>
    <row r="550" spans="2:15" s="11" customFormat="1">
      <c r="B550" s="141"/>
      <c r="D550" s="142" t="s">
        <v>95</v>
      </c>
      <c r="E550" s="143" t="s">
        <v>2</v>
      </c>
      <c r="F550" s="144" t="s">
        <v>2342</v>
      </c>
      <c r="H550" s="145">
        <f>((0.2*2.2)*2+(0.25*1))*0.1</f>
        <v>0.11300000000000002</v>
      </c>
    </row>
    <row r="551" spans="2:15" s="11" customFormat="1">
      <c r="B551" s="141"/>
      <c r="D551" s="142" t="s">
        <v>95</v>
      </c>
      <c r="E551" s="143" t="s">
        <v>2</v>
      </c>
      <c r="F551" s="144" t="s">
        <v>1626</v>
      </c>
      <c r="H551" s="145">
        <f>(1.1*2.02*0.445)</f>
        <v>0.98879000000000017</v>
      </c>
      <c r="O551" s="1"/>
    </row>
    <row r="552" spans="2:15" s="11" customFormat="1">
      <c r="B552" s="141"/>
      <c r="D552" s="142" t="s">
        <v>95</v>
      </c>
      <c r="E552" s="143" t="s">
        <v>2</v>
      </c>
      <c r="F552" s="144" t="s">
        <v>1625</v>
      </c>
      <c r="H552" s="145">
        <f>(1.65*3.44*0.15)</f>
        <v>0.85139999999999982</v>
      </c>
      <c r="O552" s="1"/>
    </row>
    <row r="553" spans="2:15" s="11" customFormat="1">
      <c r="B553" s="141"/>
      <c r="D553" s="142" t="s">
        <v>95</v>
      </c>
      <c r="E553" s="143" t="s">
        <v>2</v>
      </c>
      <c r="F553" s="144" t="s">
        <v>1623</v>
      </c>
      <c r="H553" s="145">
        <f>(1.76*1*0.1)</f>
        <v>0.17600000000000002</v>
      </c>
      <c r="O553" s="1"/>
    </row>
    <row r="554" spans="2:15" s="11" customFormat="1">
      <c r="B554" s="141"/>
      <c r="D554" s="142" t="s">
        <v>95</v>
      </c>
      <c r="E554" s="143" t="s">
        <v>2</v>
      </c>
      <c r="F554" s="144" t="s">
        <v>1624</v>
      </c>
      <c r="H554" s="145">
        <f>(1.33*2.67*0.35)</f>
        <v>1.2428849999999998</v>
      </c>
      <c r="O554" s="1"/>
    </row>
    <row r="555" spans="2:15" s="11" customFormat="1">
      <c r="B555" s="141"/>
      <c r="D555" s="142" t="s">
        <v>95</v>
      </c>
      <c r="E555" s="143" t="s">
        <v>2</v>
      </c>
      <c r="F555" s="144" t="s">
        <v>1627</v>
      </c>
      <c r="H555" s="145">
        <f>(5.02*3.44*0.1)+(5.88*3.44*0.1)</f>
        <v>3.7496</v>
      </c>
      <c r="O555" s="1"/>
    </row>
    <row r="556" spans="2:15" s="12" customFormat="1">
      <c r="B556" s="146"/>
      <c r="D556" s="142" t="s">
        <v>95</v>
      </c>
      <c r="E556" s="147" t="s">
        <v>2</v>
      </c>
      <c r="F556" s="148" t="s">
        <v>96</v>
      </c>
      <c r="H556" s="149">
        <f>SUM(H547:H555)</f>
        <v>9.225950000000001</v>
      </c>
      <c r="O556" s="1"/>
    </row>
    <row r="557" spans="2:15" s="12" customFormat="1" ht="28.9" customHeight="1">
      <c r="B557" s="146"/>
      <c r="C557" s="135">
        <f>C546+1</f>
        <v>69</v>
      </c>
      <c r="D557" s="304" t="s">
        <v>65</v>
      </c>
      <c r="E557" s="305" t="s">
        <v>653</v>
      </c>
      <c r="F557" s="306" t="s">
        <v>1060</v>
      </c>
      <c r="G557" s="307" t="s">
        <v>155</v>
      </c>
      <c r="H557" s="139">
        <f>H563</f>
        <v>262.13</v>
      </c>
      <c r="I557" s="90"/>
      <c r="J557" s="140">
        <f>ROUND(I557*H557,2)</f>
        <v>0</v>
      </c>
      <c r="K557" s="137"/>
      <c r="O557" s="1">
        <f>H557*0.1*0.1*1.975</f>
        <v>5.1770675000000006</v>
      </c>
    </row>
    <row r="558" spans="2:15" s="11" customFormat="1">
      <c r="B558" s="141"/>
      <c r="D558" s="142" t="s">
        <v>95</v>
      </c>
      <c r="E558" s="143" t="s">
        <v>2</v>
      </c>
      <c r="F558" s="144" t="s">
        <v>1589</v>
      </c>
      <c r="H558" s="145">
        <f>(3.44*5)</f>
        <v>17.2</v>
      </c>
      <c r="O558" s="1"/>
    </row>
    <row r="559" spans="2:15" s="11" customFormat="1">
      <c r="B559" s="141"/>
      <c r="D559" s="142" t="s">
        <v>95</v>
      </c>
      <c r="E559" s="143" t="s">
        <v>2</v>
      </c>
      <c r="F559" s="144" t="s">
        <v>1581</v>
      </c>
      <c r="H559" s="145">
        <f>30</f>
        <v>30</v>
      </c>
      <c r="O559" s="1"/>
    </row>
    <row r="560" spans="2:15" s="11" customFormat="1">
      <c r="B560" s="141"/>
      <c r="D560" s="142" t="s">
        <v>95</v>
      </c>
      <c r="E560" s="143" t="s">
        <v>2</v>
      </c>
      <c r="F560" s="144" t="s">
        <v>1582</v>
      </c>
      <c r="H560" s="145">
        <f>4+5.88+9.95+5.88+4.12+2*2+1.76+2+0.34+2</f>
        <v>39.93</v>
      </c>
      <c r="O560" s="1"/>
    </row>
    <row r="561" spans="2:15" s="11" customFormat="1">
      <c r="B561" s="141"/>
      <c r="D561" s="142" t="s">
        <v>95</v>
      </c>
      <c r="E561" s="143" t="s">
        <v>2</v>
      </c>
      <c r="F561" s="144" t="s">
        <v>1583</v>
      </c>
      <c r="H561" s="145">
        <f>40*4</f>
        <v>160</v>
      </c>
      <c r="O561" s="1"/>
    </row>
    <row r="562" spans="2:15" s="11" customFormat="1">
      <c r="B562" s="141"/>
      <c r="D562" s="142" t="s">
        <v>95</v>
      </c>
      <c r="E562" s="143" t="s">
        <v>2</v>
      </c>
      <c r="F562" s="144" t="s">
        <v>1584</v>
      </c>
      <c r="H562" s="145">
        <f>15</f>
        <v>15</v>
      </c>
      <c r="O562" s="1"/>
    </row>
    <row r="563" spans="2:15" s="12" customFormat="1">
      <c r="B563" s="146"/>
      <c r="D563" s="142" t="s">
        <v>95</v>
      </c>
      <c r="E563" s="147" t="s">
        <v>2</v>
      </c>
      <c r="F563" s="148" t="s">
        <v>96</v>
      </c>
      <c r="H563" s="149">
        <f>SUM(H558:H562)</f>
        <v>262.13</v>
      </c>
      <c r="O563" s="1"/>
    </row>
    <row r="564" spans="2:15" s="12" customFormat="1" ht="28.9" customHeight="1">
      <c r="B564" s="146"/>
      <c r="C564" s="135">
        <f>C557+1</f>
        <v>70</v>
      </c>
      <c r="D564" s="304" t="s">
        <v>65</v>
      </c>
      <c r="E564" s="305" t="s">
        <v>1065</v>
      </c>
      <c r="F564" s="306" t="s">
        <v>1066</v>
      </c>
      <c r="G564" s="307" t="s">
        <v>265</v>
      </c>
      <c r="H564" s="139">
        <f>H570</f>
        <v>96</v>
      </c>
      <c r="I564" s="90"/>
      <c r="J564" s="140">
        <f>ROUND(I564*H564,2)</f>
        <v>0</v>
      </c>
      <c r="K564" s="137"/>
      <c r="O564" s="1">
        <f>H564*0.0225*0.3*1.975</f>
        <v>1.2798</v>
      </c>
    </row>
    <row r="565" spans="2:15" s="11" customFormat="1">
      <c r="B565" s="141"/>
      <c r="D565" s="142" t="s">
        <v>95</v>
      </c>
      <c r="E565" s="143" t="s">
        <v>2</v>
      </c>
      <c r="F565" s="144" t="s">
        <v>1588</v>
      </c>
      <c r="H565" s="145">
        <f>20</f>
        <v>20</v>
      </c>
      <c r="O565" s="1"/>
    </row>
    <row r="566" spans="2:15" s="11" customFormat="1">
      <c r="B566" s="141"/>
      <c r="D566" s="142" t="s">
        <v>95</v>
      </c>
      <c r="E566" s="143" t="s">
        <v>2</v>
      </c>
      <c r="F566" s="144" t="s">
        <v>1585</v>
      </c>
      <c r="H566" s="145">
        <f>6</f>
        <v>6</v>
      </c>
      <c r="O566" s="1"/>
    </row>
    <row r="567" spans="2:15" s="11" customFormat="1">
      <c r="B567" s="141"/>
      <c r="D567" s="142" t="s">
        <v>95</v>
      </c>
      <c r="E567" s="143" t="s">
        <v>2</v>
      </c>
      <c r="F567" s="144" t="s">
        <v>1586</v>
      </c>
      <c r="H567" s="145">
        <f>8</f>
        <v>8</v>
      </c>
      <c r="O567" s="1"/>
    </row>
    <row r="568" spans="2:15" s="11" customFormat="1">
      <c r="B568" s="141"/>
      <c r="D568" s="142" t="s">
        <v>95</v>
      </c>
      <c r="E568" s="143" t="s">
        <v>2</v>
      </c>
      <c r="F568" s="144" t="s">
        <v>1587</v>
      </c>
      <c r="H568" s="145">
        <f>10*6</f>
        <v>60</v>
      </c>
      <c r="O568" s="1"/>
    </row>
    <row r="569" spans="2:15" s="11" customFormat="1">
      <c r="B569" s="141"/>
      <c r="D569" s="142" t="s">
        <v>95</v>
      </c>
      <c r="E569" s="143" t="s">
        <v>2</v>
      </c>
      <c r="F569" s="144" t="s">
        <v>1070</v>
      </c>
      <c r="H569" s="145">
        <f>2</f>
        <v>2</v>
      </c>
      <c r="O569" s="1"/>
    </row>
    <row r="570" spans="2:15" s="12" customFormat="1">
      <c r="B570" s="146"/>
      <c r="D570" s="142" t="s">
        <v>95</v>
      </c>
      <c r="E570" s="147" t="s">
        <v>2</v>
      </c>
      <c r="F570" s="148" t="s">
        <v>96</v>
      </c>
      <c r="H570" s="149">
        <f>SUM(H565:H569)</f>
        <v>96</v>
      </c>
      <c r="O570" s="1"/>
    </row>
    <row r="571" spans="2:15" s="12" customFormat="1" ht="28.9" customHeight="1">
      <c r="B571" s="146"/>
      <c r="C571" s="135">
        <f>C564+1</f>
        <v>71</v>
      </c>
      <c r="D571" s="304" t="s">
        <v>65</v>
      </c>
      <c r="E571" s="305" t="s">
        <v>1071</v>
      </c>
      <c r="F571" s="306" t="s">
        <v>1072</v>
      </c>
      <c r="G571" s="307" t="s">
        <v>101</v>
      </c>
      <c r="H571" s="139">
        <f>H573</f>
        <v>97.518000000000001</v>
      </c>
      <c r="I571" s="90"/>
      <c r="J571" s="140">
        <f>ROUND(I571*H571,2)</f>
        <v>0</v>
      </c>
      <c r="K571" s="137"/>
      <c r="O571" s="1"/>
    </row>
    <row r="572" spans="2:15" s="11" customFormat="1">
      <c r="B572" s="141"/>
      <c r="D572" s="142" t="s">
        <v>95</v>
      </c>
      <c r="E572" s="143" t="s">
        <v>2</v>
      </c>
      <c r="F572" s="144" t="s">
        <v>2343</v>
      </c>
      <c r="H572" s="145">
        <f>FLOOR(SUM(O117:O570),0.001)</f>
        <v>97.518000000000001</v>
      </c>
      <c r="O572" s="1"/>
    </row>
    <row r="573" spans="2:15" s="12" customFormat="1">
      <c r="B573" s="146"/>
      <c r="D573" s="142" t="s">
        <v>95</v>
      </c>
      <c r="E573" s="147" t="s">
        <v>2</v>
      </c>
      <c r="F573" s="148" t="s">
        <v>96</v>
      </c>
      <c r="H573" s="149">
        <f>SUM(H572:H572)</f>
        <v>97.518000000000001</v>
      </c>
      <c r="O573" s="1"/>
    </row>
    <row r="574" spans="2:15" s="12" customFormat="1" ht="28.9" customHeight="1">
      <c r="B574" s="146"/>
      <c r="C574" s="135">
        <f>C571+1</f>
        <v>72</v>
      </c>
      <c r="D574" s="304" t="s">
        <v>65</v>
      </c>
      <c r="E574" s="305" t="s">
        <v>647</v>
      </c>
      <c r="F574" s="306" t="s">
        <v>1073</v>
      </c>
      <c r="G574" s="307" t="s">
        <v>101</v>
      </c>
      <c r="H574" s="139">
        <f>H576</f>
        <v>97.518000000000001</v>
      </c>
      <c r="I574" s="90"/>
      <c r="J574" s="140">
        <f>ROUND(I574*H574,2)</f>
        <v>0</v>
      </c>
      <c r="K574" s="137"/>
      <c r="O574" s="1"/>
    </row>
    <row r="575" spans="2:15" s="11" customFormat="1">
      <c r="B575" s="141"/>
      <c r="D575" s="142" t="s">
        <v>95</v>
      </c>
      <c r="E575" s="143" t="s">
        <v>2</v>
      </c>
      <c r="F575" s="144" t="s">
        <v>2344</v>
      </c>
      <c r="H575" s="145">
        <f>H573</f>
        <v>97.518000000000001</v>
      </c>
      <c r="O575" s="1"/>
    </row>
    <row r="576" spans="2:15" s="12" customFormat="1">
      <c r="B576" s="146"/>
      <c r="D576" s="142" t="s">
        <v>95</v>
      </c>
      <c r="E576" s="147" t="s">
        <v>2</v>
      </c>
      <c r="F576" s="148" t="s">
        <v>96</v>
      </c>
      <c r="H576" s="149">
        <f>SUM(H575:H575)</f>
        <v>97.518000000000001</v>
      </c>
      <c r="O576" s="1"/>
    </row>
    <row r="577" spans="2:15" s="12" customFormat="1" ht="28.9" customHeight="1">
      <c r="B577" s="146"/>
      <c r="C577" s="135">
        <f>C574+1</f>
        <v>73</v>
      </c>
      <c r="D577" s="304" t="s">
        <v>65</v>
      </c>
      <c r="E577" s="305" t="s">
        <v>648</v>
      </c>
      <c r="F577" s="306" t="s">
        <v>1074</v>
      </c>
      <c r="G577" s="307" t="s">
        <v>101</v>
      </c>
      <c r="H577" s="139">
        <f>H579</f>
        <v>1852.8420000000001</v>
      </c>
      <c r="I577" s="90"/>
      <c r="J577" s="140">
        <f>ROUND(I577*H577,2)</f>
        <v>0</v>
      </c>
      <c r="K577" s="137"/>
      <c r="O577" s="1"/>
    </row>
    <row r="578" spans="2:15" s="11" customFormat="1">
      <c r="B578" s="141"/>
      <c r="D578" s="142" t="s">
        <v>95</v>
      </c>
      <c r="E578" s="143" t="s">
        <v>2</v>
      </c>
      <c r="F578" s="144" t="s">
        <v>2345</v>
      </c>
      <c r="H578" s="145">
        <f>H576*19</f>
        <v>1852.8420000000001</v>
      </c>
      <c r="O578" s="1"/>
    </row>
    <row r="579" spans="2:15" s="12" customFormat="1">
      <c r="B579" s="146"/>
      <c r="D579" s="142" t="s">
        <v>95</v>
      </c>
      <c r="E579" s="147" t="s">
        <v>2</v>
      </c>
      <c r="F579" s="148" t="s">
        <v>96</v>
      </c>
      <c r="H579" s="149">
        <f>SUM(H578:H578)</f>
        <v>1852.8420000000001</v>
      </c>
      <c r="O579" s="1"/>
    </row>
    <row r="580" spans="2:15" s="12" customFormat="1" ht="28.9" customHeight="1">
      <c r="B580" s="146"/>
      <c r="C580" s="135">
        <f>C577+1</f>
        <v>74</v>
      </c>
      <c r="D580" s="304" t="s">
        <v>65</v>
      </c>
      <c r="E580" s="305" t="s">
        <v>649</v>
      </c>
      <c r="F580" s="306" t="s">
        <v>1075</v>
      </c>
      <c r="G580" s="307" t="s">
        <v>101</v>
      </c>
      <c r="H580" s="139">
        <f>H582</f>
        <v>97.518000000000001</v>
      </c>
      <c r="I580" s="90"/>
      <c r="J580" s="140">
        <f>ROUND(I580*H580,2)</f>
        <v>0</v>
      </c>
      <c r="K580" s="137"/>
      <c r="O580" s="1"/>
    </row>
    <row r="581" spans="2:15" s="11" customFormat="1">
      <c r="B581" s="141"/>
      <c r="D581" s="142" t="s">
        <v>95</v>
      </c>
      <c r="E581" s="143" t="s">
        <v>2</v>
      </c>
      <c r="F581" s="144" t="s">
        <v>2344</v>
      </c>
      <c r="H581" s="145">
        <f>H576</f>
        <v>97.518000000000001</v>
      </c>
      <c r="O581" s="1"/>
    </row>
    <row r="582" spans="2:15" s="12" customFormat="1">
      <c r="B582" s="146"/>
      <c r="D582" s="142" t="s">
        <v>95</v>
      </c>
      <c r="E582" s="147" t="s">
        <v>2</v>
      </c>
      <c r="F582" s="148" t="s">
        <v>96</v>
      </c>
      <c r="H582" s="149">
        <f>SUM(H581:H581)</f>
        <v>97.518000000000001</v>
      </c>
      <c r="O582" s="1"/>
    </row>
    <row r="583" spans="2:15" s="10" customFormat="1" ht="29.85" customHeight="1">
      <c r="B583" s="128"/>
      <c r="D583" s="129" t="s">
        <v>39</v>
      </c>
      <c r="E583" s="133" t="s">
        <v>202</v>
      </c>
      <c r="F583" s="133" t="s">
        <v>203</v>
      </c>
      <c r="J583" s="134">
        <f>SUM(J584)</f>
        <v>0</v>
      </c>
    </row>
    <row r="584" spans="2:15" s="1" customFormat="1" ht="22.5" customHeight="1">
      <c r="B584" s="39"/>
      <c r="C584" s="135">
        <f>C580+1</f>
        <v>75</v>
      </c>
      <c r="D584" s="135" t="s">
        <v>65</v>
      </c>
      <c r="E584" s="136" t="s">
        <v>204</v>
      </c>
      <c r="F584" s="137" t="s">
        <v>205</v>
      </c>
      <c r="G584" s="138" t="s">
        <v>101</v>
      </c>
      <c r="H584" s="139">
        <v>1219.914</v>
      </c>
      <c r="I584" s="90"/>
      <c r="J584" s="140">
        <f>ROUND(I584*H584,2)</f>
        <v>0</v>
      </c>
      <c r="K584" s="137"/>
    </row>
    <row r="585" spans="2:15" s="11" customFormat="1">
      <c r="B585" s="141"/>
      <c r="D585" s="142" t="s">
        <v>95</v>
      </c>
      <c r="E585" s="143" t="s">
        <v>2</v>
      </c>
      <c r="F585" s="144" t="s">
        <v>2346</v>
      </c>
      <c r="H585" s="145">
        <f>SUM(P106:P427)</f>
        <v>71.95816472049998</v>
      </c>
      <c r="O585" s="1"/>
    </row>
    <row r="586" spans="2:15" s="12" customFormat="1">
      <c r="B586" s="146"/>
      <c r="D586" s="142" t="s">
        <v>95</v>
      </c>
      <c r="E586" s="147" t="s">
        <v>2</v>
      </c>
      <c r="F586" s="148" t="s">
        <v>96</v>
      </c>
      <c r="H586" s="149">
        <f>SUM(H585:H585)</f>
        <v>71.95816472049998</v>
      </c>
      <c r="O586" s="1"/>
    </row>
    <row r="587" spans="2:15" s="10" customFormat="1" ht="37.35" customHeight="1">
      <c r="B587" s="128"/>
      <c r="D587" s="129" t="s">
        <v>39</v>
      </c>
      <c r="E587" s="130" t="s">
        <v>206</v>
      </c>
      <c r="F587" s="130" t="s">
        <v>207</v>
      </c>
      <c r="J587" s="131">
        <f>J588+J599+J622+J820+J903+J1231+J1267+J1304+J1312+J1313+J1442+J1466+J1536+J1558+J1581+J1634</f>
        <v>0</v>
      </c>
    </row>
    <row r="588" spans="2:15" s="10" customFormat="1" ht="19.899999999999999" customHeight="1">
      <c r="B588" s="128"/>
      <c r="D588" s="129" t="s">
        <v>39</v>
      </c>
      <c r="E588" s="133" t="s">
        <v>208</v>
      </c>
      <c r="F588" s="133" t="s">
        <v>209</v>
      </c>
      <c r="I588" s="23"/>
      <c r="J588" s="134">
        <f>SUM(J589:J598)</f>
        <v>0</v>
      </c>
    </row>
    <row r="589" spans="2:15" s="1" customFormat="1" ht="28.9" customHeight="1">
      <c r="B589" s="39"/>
      <c r="C589" s="135">
        <f>C584+1</f>
        <v>76</v>
      </c>
      <c r="D589" s="135" t="s">
        <v>65</v>
      </c>
      <c r="E589" s="136" t="s">
        <v>1091</v>
      </c>
      <c r="F589" s="137" t="s">
        <v>210</v>
      </c>
      <c r="G589" s="138" t="s">
        <v>105</v>
      </c>
      <c r="H589" s="139">
        <f>H597</f>
        <v>35.963999999999999</v>
      </c>
      <c r="I589" s="90"/>
      <c r="J589" s="140">
        <f>ROUND(I589*H589,2)</f>
        <v>0</v>
      </c>
      <c r="K589" s="137"/>
    </row>
    <row r="590" spans="2:15" s="11" customFormat="1">
      <c r="B590" s="141"/>
      <c r="D590" s="142" t="s">
        <v>95</v>
      </c>
      <c r="E590" s="143" t="s">
        <v>2</v>
      </c>
      <c r="F590" s="144" t="s">
        <v>1481</v>
      </c>
      <c r="H590" s="145">
        <f>6.898</f>
        <v>6.8979999999999997</v>
      </c>
      <c r="O590" s="1"/>
    </row>
    <row r="591" spans="2:15" s="11" customFormat="1">
      <c r="B591" s="141"/>
      <c r="D591" s="142" t="s">
        <v>95</v>
      </c>
      <c r="E591" s="143" t="s">
        <v>2</v>
      </c>
      <c r="F591" s="144" t="s">
        <v>1482</v>
      </c>
      <c r="H591" s="145">
        <f>4.074</f>
        <v>4.0739999999999998</v>
      </c>
      <c r="O591" s="1"/>
    </row>
    <row r="592" spans="2:15" s="11" customFormat="1">
      <c r="B592" s="141"/>
      <c r="D592" s="142" t="s">
        <v>95</v>
      </c>
      <c r="E592" s="143" t="s">
        <v>2</v>
      </c>
      <c r="F592" s="144" t="s">
        <v>1483</v>
      </c>
      <c r="H592" s="145">
        <f>1.395</f>
        <v>1.395</v>
      </c>
      <c r="O592" s="1"/>
    </row>
    <row r="593" spans="2:15" s="11" customFormat="1">
      <c r="B593" s="141"/>
      <c r="D593" s="142" t="s">
        <v>95</v>
      </c>
      <c r="E593" s="143" t="s">
        <v>2</v>
      </c>
      <c r="F593" s="144" t="s">
        <v>2330</v>
      </c>
      <c r="H593" s="145">
        <f>1.395</f>
        <v>1.395</v>
      </c>
      <c r="O593" s="1"/>
    </row>
    <row r="594" spans="2:15" s="11" customFormat="1">
      <c r="B594" s="141"/>
      <c r="D594" s="142" t="s">
        <v>95</v>
      </c>
      <c r="E594" s="143" t="s">
        <v>2</v>
      </c>
      <c r="F594" s="144" t="s">
        <v>1485</v>
      </c>
      <c r="H594" s="145">
        <f>14.712</f>
        <v>14.712</v>
      </c>
      <c r="O594" s="1"/>
    </row>
    <row r="595" spans="2:15" s="11" customFormat="1">
      <c r="B595" s="141"/>
      <c r="D595" s="142" t="s">
        <v>95</v>
      </c>
      <c r="E595" s="143" t="s">
        <v>2</v>
      </c>
      <c r="F595" s="144" t="s">
        <v>1495</v>
      </c>
      <c r="H595" s="145">
        <f>2.666</f>
        <v>2.6659999999999999</v>
      </c>
      <c r="O595" s="1"/>
    </row>
    <row r="596" spans="2:15" s="11" customFormat="1">
      <c r="B596" s="141"/>
      <c r="D596" s="142" t="s">
        <v>95</v>
      </c>
      <c r="E596" s="143" t="s">
        <v>2</v>
      </c>
      <c r="F596" s="144" t="s">
        <v>1496</v>
      </c>
      <c r="H596" s="145">
        <f>4.824</f>
        <v>4.8239999999999998</v>
      </c>
      <c r="O596" s="1"/>
    </row>
    <row r="597" spans="2:15" s="12" customFormat="1">
      <c r="B597" s="146"/>
      <c r="D597" s="142" t="s">
        <v>95</v>
      </c>
      <c r="E597" s="342" t="s">
        <v>2</v>
      </c>
      <c r="F597" s="343" t="s">
        <v>96</v>
      </c>
      <c r="H597" s="149">
        <f>SUM(H590:H596)</f>
        <v>35.963999999999999</v>
      </c>
      <c r="O597" s="1"/>
    </row>
    <row r="598" spans="2:15" s="1" customFormat="1" ht="22.5" customHeight="1">
      <c r="B598" s="39"/>
      <c r="C598" s="135">
        <f>C589+1</f>
        <v>77</v>
      </c>
      <c r="D598" s="135" t="s">
        <v>65</v>
      </c>
      <c r="E598" s="136" t="s">
        <v>1092</v>
      </c>
      <c r="F598" s="137" t="s">
        <v>1093</v>
      </c>
      <c r="G598" s="138" t="s">
        <v>261</v>
      </c>
      <c r="H598" s="139">
        <f>SUM(J589:J597)</f>
        <v>0</v>
      </c>
      <c r="I598" s="90"/>
      <c r="J598" s="140">
        <f>ROUND(I598%*H598,2)</f>
        <v>0</v>
      </c>
      <c r="K598" s="137"/>
    </row>
    <row r="599" spans="2:15" s="10" customFormat="1" ht="29.85" customHeight="1">
      <c r="B599" s="128"/>
      <c r="D599" s="129" t="s">
        <v>39</v>
      </c>
      <c r="E599" s="133" t="s">
        <v>211</v>
      </c>
      <c r="F599" s="133" t="s">
        <v>212</v>
      </c>
      <c r="J599" s="134">
        <f>SUM(J600:J621)</f>
        <v>0</v>
      </c>
    </row>
    <row r="600" spans="2:15" s="1" customFormat="1" ht="15.6" customHeight="1">
      <c r="B600" s="39"/>
      <c r="C600" s="135">
        <f>C598+1</f>
        <v>78</v>
      </c>
      <c r="D600" s="135" t="s">
        <v>65</v>
      </c>
      <c r="E600" s="136" t="s">
        <v>241</v>
      </c>
      <c r="F600" s="137" t="s">
        <v>1633</v>
      </c>
      <c r="G600" s="138" t="s">
        <v>105</v>
      </c>
      <c r="H600" s="139">
        <f>H602</f>
        <v>117.29</v>
      </c>
      <c r="I600" s="90"/>
      <c r="J600" s="140">
        <f>ROUND(I600*H600,2)</f>
        <v>0</v>
      </c>
      <c r="K600" s="137"/>
    </row>
    <row r="601" spans="2:15" s="11" customFormat="1">
      <c r="B601" s="141"/>
      <c r="D601" s="142" t="s">
        <v>95</v>
      </c>
      <c r="E601" s="143" t="s">
        <v>2</v>
      </c>
      <c r="F601" s="144" t="s">
        <v>1634</v>
      </c>
      <c r="H601" s="145">
        <f>58.645*2</f>
        <v>117.29</v>
      </c>
      <c r="O601" s="1"/>
    </row>
    <row r="602" spans="2:15" s="12" customFormat="1">
      <c r="B602" s="146"/>
      <c r="D602" s="142" t="s">
        <v>95</v>
      </c>
      <c r="E602" s="342" t="s">
        <v>2</v>
      </c>
      <c r="F602" s="343" t="s">
        <v>96</v>
      </c>
      <c r="H602" s="149">
        <f>SUM(H601:H601)</f>
        <v>117.29</v>
      </c>
      <c r="O602" s="1"/>
    </row>
    <row r="603" spans="2:15" s="1" customFormat="1" ht="15.6" customHeight="1">
      <c r="B603" s="39"/>
      <c r="C603" s="150">
        <f>C600+1</f>
        <v>79</v>
      </c>
      <c r="D603" s="150" t="s">
        <v>123</v>
      </c>
      <c r="E603" s="151" t="s">
        <v>1108</v>
      </c>
      <c r="F603" s="152" t="s">
        <v>1635</v>
      </c>
      <c r="G603" s="153" t="s">
        <v>105</v>
      </c>
      <c r="H603" s="154">
        <f>H605</f>
        <v>129.01900000000001</v>
      </c>
      <c r="I603" s="91"/>
      <c r="J603" s="155">
        <f>ROUND(I603*H603,2)</f>
        <v>0</v>
      </c>
      <c r="K603" s="152"/>
    </row>
    <row r="604" spans="2:15" s="11" customFormat="1">
      <c r="B604" s="141"/>
      <c r="D604" s="142" t="s">
        <v>95</v>
      </c>
      <c r="F604" s="144" t="s">
        <v>1636</v>
      </c>
      <c r="H604" s="145">
        <f>117.29*1.1</f>
        <v>129.01900000000001</v>
      </c>
      <c r="O604" s="1"/>
    </row>
    <row r="605" spans="2:15" s="12" customFormat="1">
      <c r="B605" s="146"/>
      <c r="D605" s="142" t="s">
        <v>95</v>
      </c>
      <c r="E605" s="342" t="s">
        <v>2</v>
      </c>
      <c r="F605" s="343" t="s">
        <v>96</v>
      </c>
      <c r="H605" s="149">
        <f>SUM(H604:H604)</f>
        <v>129.01900000000001</v>
      </c>
      <c r="O605" s="1"/>
    </row>
    <row r="606" spans="2:15" s="1" customFormat="1" ht="27">
      <c r="B606" s="39"/>
      <c r="C606" s="135">
        <f>C603+1</f>
        <v>80</v>
      </c>
      <c r="D606" s="135" t="s">
        <v>65</v>
      </c>
      <c r="E606" s="136" t="s">
        <v>1637</v>
      </c>
      <c r="F606" s="137" t="s">
        <v>1638</v>
      </c>
      <c r="G606" s="138" t="s">
        <v>105</v>
      </c>
      <c r="H606" s="139">
        <f>H608</f>
        <v>58.645000000000003</v>
      </c>
      <c r="I606" s="90"/>
      <c r="J606" s="140">
        <f>ROUND(I606*H606,2)</f>
        <v>0</v>
      </c>
      <c r="K606" s="137"/>
    </row>
    <row r="607" spans="2:15" s="11" customFormat="1">
      <c r="B607" s="141"/>
      <c r="D607" s="142" t="s">
        <v>95</v>
      </c>
      <c r="E607" s="143" t="s">
        <v>2</v>
      </c>
      <c r="F607" s="144" t="s">
        <v>1497</v>
      </c>
      <c r="H607" s="145">
        <f>58.645</f>
        <v>58.645000000000003</v>
      </c>
      <c r="O607" s="1"/>
    </row>
    <row r="608" spans="2:15" s="12" customFormat="1">
      <c r="B608" s="146"/>
      <c r="D608" s="142" t="s">
        <v>95</v>
      </c>
      <c r="E608" s="342" t="s">
        <v>2</v>
      </c>
      <c r="F608" s="343" t="s">
        <v>96</v>
      </c>
      <c r="H608" s="149">
        <f>SUM(H607:H607)</f>
        <v>58.645000000000003</v>
      </c>
      <c r="O608" s="1"/>
    </row>
    <row r="609" spans="2:15" s="1" customFormat="1" ht="28.9" customHeight="1">
      <c r="B609" s="39"/>
      <c r="C609" s="135">
        <f>C606+1</f>
        <v>81</v>
      </c>
      <c r="D609" s="135" t="s">
        <v>65</v>
      </c>
      <c r="E609" s="136" t="s">
        <v>1639</v>
      </c>
      <c r="F609" s="137" t="s">
        <v>1647</v>
      </c>
      <c r="G609" s="138" t="s">
        <v>105</v>
      </c>
      <c r="H609" s="139">
        <f>H611</f>
        <v>73.306250000000006</v>
      </c>
      <c r="I609" s="90"/>
      <c r="J609" s="140">
        <f>ROUND(I609*H609,2)</f>
        <v>0</v>
      </c>
      <c r="K609" s="137"/>
    </row>
    <row r="610" spans="2:15" s="11" customFormat="1" ht="27">
      <c r="B610" s="141"/>
      <c r="D610" s="142" t="s">
        <v>95</v>
      </c>
      <c r="E610" s="143" t="s">
        <v>2</v>
      </c>
      <c r="F610" s="144" t="s">
        <v>1640</v>
      </c>
      <c r="H610" s="145">
        <f>58.645*1.25</f>
        <v>73.306250000000006</v>
      </c>
      <c r="O610" s="1"/>
    </row>
    <row r="611" spans="2:15" s="12" customFormat="1">
      <c r="B611" s="146"/>
      <c r="D611" s="142" t="s">
        <v>95</v>
      </c>
      <c r="E611" s="342" t="s">
        <v>2</v>
      </c>
      <c r="F611" s="343" t="s">
        <v>96</v>
      </c>
      <c r="H611" s="149">
        <f>SUM(H610:H610)</f>
        <v>73.306250000000006</v>
      </c>
      <c r="O611" s="1"/>
    </row>
    <row r="612" spans="2:15" s="1" customFormat="1" ht="22.5" customHeight="1">
      <c r="B612" s="39"/>
      <c r="C612" s="150">
        <f>C609+1</f>
        <v>82</v>
      </c>
      <c r="D612" s="150" t="s">
        <v>123</v>
      </c>
      <c r="E612" s="151" t="s">
        <v>1641</v>
      </c>
      <c r="F612" s="152" t="s">
        <v>1642</v>
      </c>
      <c r="G612" s="153" t="s">
        <v>105</v>
      </c>
      <c r="H612" s="154">
        <f>H614</f>
        <v>80.636875000000018</v>
      </c>
      <c r="I612" s="91"/>
      <c r="J612" s="155">
        <f>ROUND(I612*H612,2)</f>
        <v>0</v>
      </c>
      <c r="K612" s="152"/>
    </row>
    <row r="613" spans="2:15" s="11" customFormat="1" ht="27">
      <c r="B613" s="141"/>
      <c r="D613" s="142" t="s">
        <v>95</v>
      </c>
      <c r="E613" s="143" t="s">
        <v>2</v>
      </c>
      <c r="F613" s="144" t="s">
        <v>1643</v>
      </c>
      <c r="H613" s="145">
        <f>58.645*1.25*1.1</f>
        <v>80.636875000000018</v>
      </c>
      <c r="O613" s="1"/>
    </row>
    <row r="614" spans="2:15" s="12" customFormat="1">
      <c r="B614" s="146"/>
      <c r="D614" s="142" t="s">
        <v>95</v>
      </c>
      <c r="E614" s="342" t="s">
        <v>2</v>
      </c>
      <c r="F614" s="343" t="s">
        <v>96</v>
      </c>
      <c r="H614" s="149">
        <f>SUM(H613:H613)</f>
        <v>80.636875000000018</v>
      </c>
      <c r="O614" s="1"/>
    </row>
    <row r="615" spans="2:15" s="1" customFormat="1" ht="28.9" customHeight="1">
      <c r="B615" s="39"/>
      <c r="C615" s="135">
        <f>C612+1</f>
        <v>83</v>
      </c>
      <c r="D615" s="135" t="s">
        <v>65</v>
      </c>
      <c r="E615" s="136" t="s">
        <v>1645</v>
      </c>
      <c r="F615" s="137" t="s">
        <v>1646</v>
      </c>
      <c r="G615" s="138" t="s">
        <v>105</v>
      </c>
      <c r="H615" s="139">
        <f>H617</f>
        <v>73.306250000000006</v>
      </c>
      <c r="I615" s="90"/>
      <c r="J615" s="140">
        <f>ROUND(I615*H615,2)</f>
        <v>0</v>
      </c>
      <c r="K615" s="137"/>
    </row>
    <row r="616" spans="2:15" s="11" customFormat="1" ht="27">
      <c r="B616" s="141"/>
      <c r="D616" s="142" t="s">
        <v>95</v>
      </c>
      <c r="E616" s="143" t="s">
        <v>2</v>
      </c>
      <c r="F616" s="144" t="s">
        <v>1640</v>
      </c>
      <c r="H616" s="145">
        <f>58.645*1.25</f>
        <v>73.306250000000006</v>
      </c>
      <c r="O616" s="1"/>
    </row>
    <row r="617" spans="2:15" s="12" customFormat="1">
      <c r="B617" s="146"/>
      <c r="D617" s="142" t="s">
        <v>95</v>
      </c>
      <c r="E617" s="342" t="s">
        <v>2</v>
      </c>
      <c r="F617" s="343" t="s">
        <v>96</v>
      </c>
      <c r="H617" s="149">
        <f>SUM(H616:H616)</f>
        <v>73.306250000000006</v>
      </c>
      <c r="O617" s="1"/>
    </row>
    <row r="618" spans="2:15" s="1" customFormat="1" ht="22.5" customHeight="1">
      <c r="B618" s="39"/>
      <c r="C618" s="150">
        <f>C615+1</f>
        <v>84</v>
      </c>
      <c r="D618" s="150" t="s">
        <v>123</v>
      </c>
      <c r="E618" s="151" t="s">
        <v>1648</v>
      </c>
      <c r="F618" s="152" t="s">
        <v>1644</v>
      </c>
      <c r="G618" s="153" t="s">
        <v>105</v>
      </c>
      <c r="H618" s="154">
        <f>H620</f>
        <v>80.636875000000018</v>
      </c>
      <c r="I618" s="91"/>
      <c r="J618" s="155">
        <f>ROUND(I618*H618,2)</f>
        <v>0</v>
      </c>
      <c r="K618" s="152"/>
    </row>
    <row r="619" spans="2:15" s="11" customFormat="1" ht="27">
      <c r="B619" s="141"/>
      <c r="D619" s="142" t="s">
        <v>95</v>
      </c>
      <c r="E619" s="143" t="s">
        <v>2</v>
      </c>
      <c r="F619" s="144" t="s">
        <v>1643</v>
      </c>
      <c r="H619" s="145">
        <f>58.645*1.25*1.1</f>
        <v>80.636875000000018</v>
      </c>
      <c r="O619" s="1"/>
    </row>
    <row r="620" spans="2:15" s="12" customFormat="1">
      <c r="B620" s="146"/>
      <c r="D620" s="142" t="s">
        <v>95</v>
      </c>
      <c r="E620" s="342" t="s">
        <v>2</v>
      </c>
      <c r="F620" s="343" t="s">
        <v>96</v>
      </c>
      <c r="H620" s="149">
        <f>SUM(H619:H619)</f>
        <v>80.636875000000018</v>
      </c>
      <c r="O620" s="1"/>
    </row>
    <row r="621" spans="2:15" s="1" customFormat="1" ht="22.5" customHeight="1">
      <c r="B621" s="39"/>
      <c r="C621" s="135">
        <f>C618+1</f>
        <v>85</v>
      </c>
      <c r="D621" s="135" t="s">
        <v>65</v>
      </c>
      <c r="E621" s="136" t="s">
        <v>1116</v>
      </c>
      <c r="F621" s="137" t="s">
        <v>1115</v>
      </c>
      <c r="G621" s="138" t="s">
        <v>261</v>
      </c>
      <c r="H621" s="139">
        <f>SUM(J600:J620)</f>
        <v>0</v>
      </c>
      <c r="I621" s="90"/>
      <c r="J621" s="140">
        <f>ROUND(I621%*H621,2)</f>
        <v>0</v>
      </c>
      <c r="K621" s="137"/>
    </row>
    <row r="622" spans="2:15" s="10" customFormat="1" ht="29.85" customHeight="1">
      <c r="B622" s="128"/>
      <c r="D622" s="129" t="s">
        <v>39</v>
      </c>
      <c r="E622" s="133" t="s">
        <v>213</v>
      </c>
      <c r="F622" s="133" t="s">
        <v>645</v>
      </c>
      <c r="J622" s="134">
        <f>SUM(J623:J819)</f>
        <v>0</v>
      </c>
    </row>
    <row r="623" spans="2:15" s="1" customFormat="1" ht="22.9" customHeight="1">
      <c r="B623" s="39"/>
      <c r="C623" s="135">
        <f>C621+1</f>
        <v>86</v>
      </c>
      <c r="D623" s="135" t="s">
        <v>643</v>
      </c>
      <c r="E623" s="136" t="s">
        <v>1975</v>
      </c>
      <c r="F623" s="137" t="s">
        <v>780</v>
      </c>
      <c r="G623" s="138" t="s">
        <v>181</v>
      </c>
      <c r="H623" s="139">
        <v>1</v>
      </c>
      <c r="I623" s="90"/>
      <c r="J623" s="140">
        <f>ROUND(I623*H623,2)</f>
        <v>0</v>
      </c>
      <c r="K623" s="137"/>
    </row>
    <row r="624" spans="2:15" s="164" customFormat="1" ht="22.9" customHeight="1">
      <c r="B624" s="246"/>
      <c r="C624" s="247"/>
      <c r="D624" s="248"/>
      <c r="E624" s="248" t="s">
        <v>642</v>
      </c>
      <c r="F624" s="249" t="s">
        <v>644</v>
      </c>
      <c r="G624" s="250"/>
      <c r="H624" s="251"/>
      <c r="I624" s="252"/>
      <c r="J624" s="253"/>
    </row>
    <row r="625" spans="2:15" s="163" customFormat="1" ht="22.9" customHeight="1">
      <c r="B625" s="254"/>
      <c r="C625" s="135">
        <f>C623+1</f>
        <v>87</v>
      </c>
      <c r="D625" s="258" t="s">
        <v>65</v>
      </c>
      <c r="E625" s="259" t="s">
        <v>653</v>
      </c>
      <c r="F625" s="255" t="s">
        <v>566</v>
      </c>
      <c r="G625" s="256" t="s">
        <v>155</v>
      </c>
      <c r="H625" s="257">
        <f>H628</f>
        <v>39.075000000000003</v>
      </c>
      <c r="I625" s="90"/>
      <c r="J625" s="140">
        <f t="shared" ref="J625:J722" si="0">ROUND(I625*H625,2)</f>
        <v>0</v>
      </c>
      <c r="K625" s="137"/>
      <c r="O625" s="1">
        <f>H625*0.05*0.07*1.975</f>
        <v>0.27010593750000006</v>
      </c>
    </row>
    <row r="626" spans="2:15" s="11" customFormat="1" ht="27">
      <c r="B626" s="141"/>
      <c r="D626" s="142" t="s">
        <v>95</v>
      </c>
      <c r="F626" s="144" t="s">
        <v>1676</v>
      </c>
      <c r="H626" s="145">
        <f>24</f>
        <v>24</v>
      </c>
      <c r="O626" s="1"/>
    </row>
    <row r="627" spans="2:15" s="11" customFormat="1" ht="40.5">
      <c r="B627" s="141"/>
      <c r="D627" s="142" t="s">
        <v>95</v>
      </c>
      <c r="F627" s="144" t="s">
        <v>1682</v>
      </c>
      <c r="H627" s="145">
        <f>0.125+1.105+0.9+1.85+0.5+0.125+3.25+2+2+0.35+2+0.68+0.19</f>
        <v>15.074999999999999</v>
      </c>
      <c r="O627" s="1"/>
    </row>
    <row r="628" spans="2:15" s="12" customFormat="1">
      <c r="B628" s="146"/>
      <c r="D628" s="142" t="s">
        <v>95</v>
      </c>
      <c r="E628" s="342" t="s">
        <v>2</v>
      </c>
      <c r="F628" s="343" t="s">
        <v>96</v>
      </c>
      <c r="H628" s="149">
        <f>SUM(H626:H627)</f>
        <v>39.075000000000003</v>
      </c>
      <c r="O628" s="1"/>
    </row>
    <row r="629" spans="2:15" s="163" customFormat="1" ht="22.9" customHeight="1">
      <c r="B629" s="254"/>
      <c r="C629" s="135">
        <f>C625+1</f>
        <v>88</v>
      </c>
      <c r="D629" s="258" t="s">
        <v>65</v>
      </c>
      <c r="E629" s="259" t="s">
        <v>652</v>
      </c>
      <c r="F629" s="255" t="s">
        <v>565</v>
      </c>
      <c r="G629" s="256" t="s">
        <v>155</v>
      </c>
      <c r="H629" s="257">
        <f>H632</f>
        <v>24.919</v>
      </c>
      <c r="I629" s="90"/>
      <c r="J629" s="140">
        <f t="shared" ref="J629" si="1">ROUND(I629*H629,2)</f>
        <v>0</v>
      </c>
      <c r="K629" s="137"/>
      <c r="O629" s="1">
        <f>H629*0.1*0.1*1.975</f>
        <v>0.49215025000000007</v>
      </c>
    </row>
    <row r="630" spans="2:15" s="11" customFormat="1">
      <c r="B630" s="141"/>
      <c r="D630" s="142" t="s">
        <v>95</v>
      </c>
      <c r="F630" s="144" t="s">
        <v>1677</v>
      </c>
      <c r="H630" s="145">
        <f>15</f>
        <v>15</v>
      </c>
      <c r="O630" s="1"/>
    </row>
    <row r="631" spans="2:15" s="11" customFormat="1" ht="40.5">
      <c r="B631" s="141"/>
      <c r="D631" s="142" t="s">
        <v>95</v>
      </c>
      <c r="F631" s="144" t="s">
        <v>1678</v>
      </c>
      <c r="H631" s="145">
        <f>(0.5+1.161+0.5+3.223)+(0.25+0.448+0.5)+(0.5+0.636+0.25)+(0.177+0.354+0.588+0.582+0.25)</f>
        <v>9.9190000000000005</v>
      </c>
      <c r="O631" s="1"/>
    </row>
    <row r="632" spans="2:15" s="12" customFormat="1">
      <c r="B632" s="146"/>
      <c r="D632" s="142" t="s">
        <v>95</v>
      </c>
      <c r="E632" s="342" t="s">
        <v>2</v>
      </c>
      <c r="F632" s="343" t="s">
        <v>96</v>
      </c>
      <c r="H632" s="149">
        <f>SUM(H630:H631)</f>
        <v>24.919</v>
      </c>
      <c r="O632" s="1"/>
    </row>
    <row r="633" spans="2:15" s="163" customFormat="1" ht="22.9" customHeight="1">
      <c r="B633" s="254"/>
      <c r="C633" s="135">
        <f>C629+1</f>
        <v>89</v>
      </c>
      <c r="D633" s="258" t="s">
        <v>65</v>
      </c>
      <c r="E633" s="259" t="s">
        <v>1121</v>
      </c>
      <c r="F633" s="255" t="s">
        <v>1680</v>
      </c>
      <c r="G633" s="256" t="s">
        <v>265</v>
      </c>
      <c r="H633" s="257">
        <f>H636</f>
        <v>9</v>
      </c>
      <c r="I633" s="90"/>
      <c r="J633" s="140">
        <f t="shared" ref="J633" si="2">ROUND(I633*H633,2)</f>
        <v>0</v>
      </c>
      <c r="K633" s="137"/>
      <c r="O633" s="1">
        <f>H633*0.09*0.3*1.975</f>
        <v>0.47992499999999993</v>
      </c>
    </row>
    <row r="634" spans="2:15" s="11" customFormat="1">
      <c r="B634" s="141"/>
      <c r="D634" s="142" t="s">
        <v>95</v>
      </c>
      <c r="F634" s="144" t="s">
        <v>1679</v>
      </c>
      <c r="H634" s="145">
        <f>2</f>
        <v>2</v>
      </c>
      <c r="O634" s="1"/>
    </row>
    <row r="635" spans="2:15" s="11" customFormat="1" ht="27">
      <c r="B635" s="141"/>
      <c r="D635" s="142" t="s">
        <v>95</v>
      </c>
      <c r="F635" s="144" t="s">
        <v>1681</v>
      </c>
      <c r="H635" s="145">
        <f>(3+4)</f>
        <v>7</v>
      </c>
      <c r="O635" s="1"/>
    </row>
    <row r="636" spans="2:15" s="12" customFormat="1">
      <c r="B636" s="146"/>
      <c r="D636" s="142" t="s">
        <v>95</v>
      </c>
      <c r="E636" s="342" t="s">
        <v>2</v>
      </c>
      <c r="F636" s="343" t="s">
        <v>96</v>
      </c>
      <c r="H636" s="149">
        <f>SUM(H634:H635)</f>
        <v>9</v>
      </c>
      <c r="O636" s="1"/>
    </row>
    <row r="637" spans="2:15" s="163" customFormat="1" ht="22.9" customHeight="1">
      <c r="B637" s="254"/>
      <c r="C637" s="135">
        <f>C633+1</f>
        <v>90</v>
      </c>
      <c r="D637" s="258" t="s">
        <v>65</v>
      </c>
      <c r="E637" s="259" t="s">
        <v>655</v>
      </c>
      <c r="F637" s="255" t="s">
        <v>1666</v>
      </c>
      <c r="G637" s="256" t="s">
        <v>155</v>
      </c>
      <c r="H637" s="257">
        <f>H640</f>
        <v>39.075000000000003</v>
      </c>
      <c r="I637" s="90"/>
      <c r="J637" s="140">
        <f t="shared" ref="J637" si="3">ROUND(I637*H637,2)</f>
        <v>0</v>
      </c>
      <c r="K637" s="137"/>
    </row>
    <row r="638" spans="2:15" s="11" customFormat="1" ht="27">
      <c r="B638" s="141"/>
      <c r="D638" s="142" t="s">
        <v>95</v>
      </c>
      <c r="F638" s="144" t="s">
        <v>1676</v>
      </c>
      <c r="H638" s="145">
        <f>24</f>
        <v>24</v>
      </c>
      <c r="O638" s="1"/>
    </row>
    <row r="639" spans="2:15" s="11" customFormat="1" ht="40.5">
      <c r="B639" s="141"/>
      <c r="D639" s="142" t="s">
        <v>95</v>
      </c>
      <c r="F639" s="144" t="s">
        <v>1682</v>
      </c>
      <c r="H639" s="145">
        <f>0.125+1.105+0.9+1.85+0.5+0.125+3.25+2+2+0.35+2+0.68+0.19</f>
        <v>15.074999999999999</v>
      </c>
      <c r="O639" s="1"/>
    </row>
    <row r="640" spans="2:15" s="12" customFormat="1">
      <c r="B640" s="146"/>
      <c r="D640" s="142" t="s">
        <v>95</v>
      </c>
      <c r="E640" s="342" t="s">
        <v>2</v>
      </c>
      <c r="F640" s="343" t="s">
        <v>96</v>
      </c>
      <c r="H640" s="149">
        <f>SUM(H638:H639)</f>
        <v>39.075000000000003</v>
      </c>
      <c r="O640" s="1"/>
    </row>
    <row r="641" spans="2:15" s="163" customFormat="1" ht="22.9" customHeight="1">
      <c r="B641" s="254"/>
      <c r="C641" s="135">
        <f>C637+1</f>
        <v>91</v>
      </c>
      <c r="D641" s="258" t="s">
        <v>65</v>
      </c>
      <c r="E641" s="259" t="s">
        <v>654</v>
      </c>
      <c r="F641" s="255" t="s">
        <v>564</v>
      </c>
      <c r="G641" s="256" t="s">
        <v>155</v>
      </c>
      <c r="H641" s="257">
        <f>H644</f>
        <v>24.919</v>
      </c>
      <c r="I641" s="90"/>
      <c r="J641" s="140">
        <f t="shared" ref="J641" si="4">ROUND(I641*H641,2)</f>
        <v>0</v>
      </c>
      <c r="K641" s="137"/>
    </row>
    <row r="642" spans="2:15" s="11" customFormat="1">
      <c r="B642" s="141"/>
      <c r="D642" s="142" t="s">
        <v>95</v>
      </c>
      <c r="F642" s="144" t="s">
        <v>1677</v>
      </c>
      <c r="H642" s="145">
        <f>15</f>
        <v>15</v>
      </c>
      <c r="O642" s="1"/>
    </row>
    <row r="643" spans="2:15" s="11" customFormat="1" ht="40.5">
      <c r="B643" s="141"/>
      <c r="D643" s="142" t="s">
        <v>95</v>
      </c>
      <c r="F643" s="144" t="s">
        <v>1678</v>
      </c>
      <c r="H643" s="145">
        <f>(0.5+1.161+0.5+3.223)+(0.25+0.448+0.5)+(0.5+0.636+0.25)+(0.177+0.354+0.588+0.582+0.25)</f>
        <v>9.9190000000000005</v>
      </c>
      <c r="O643" s="1"/>
    </row>
    <row r="644" spans="2:15" s="12" customFormat="1">
      <c r="B644" s="146"/>
      <c r="D644" s="142" t="s">
        <v>95</v>
      </c>
      <c r="E644" s="342" t="s">
        <v>2</v>
      </c>
      <c r="F644" s="343" t="s">
        <v>96</v>
      </c>
      <c r="H644" s="149">
        <f>SUM(H642:H643)</f>
        <v>24.919</v>
      </c>
      <c r="O644" s="1"/>
    </row>
    <row r="645" spans="2:15" s="163" customFormat="1" ht="22.9" customHeight="1">
      <c r="B645" s="254"/>
      <c r="C645" s="135">
        <f>C641+1</f>
        <v>92</v>
      </c>
      <c r="D645" s="258" t="s">
        <v>65</v>
      </c>
      <c r="E645" s="259" t="s">
        <v>650</v>
      </c>
      <c r="F645" s="255" t="s">
        <v>567</v>
      </c>
      <c r="G645" s="256" t="s">
        <v>101</v>
      </c>
      <c r="H645" s="257">
        <f>H647</f>
        <v>1.242</v>
      </c>
      <c r="I645" s="90"/>
      <c r="J645" s="140">
        <f t="shared" ref="J645:J657" si="5">ROUND(I645*H645,2)</f>
        <v>0</v>
      </c>
      <c r="K645" s="137"/>
      <c r="O645" s="1"/>
    </row>
    <row r="646" spans="2:15" s="11" customFormat="1">
      <c r="B646" s="141"/>
      <c r="D646" s="142" t="s">
        <v>95</v>
      </c>
      <c r="E646" s="143" t="s">
        <v>2</v>
      </c>
      <c r="F646" s="144" t="s">
        <v>1683</v>
      </c>
      <c r="H646" s="145">
        <f>FLOOR(SUM(O624:O640),0.001)</f>
        <v>1.242</v>
      </c>
      <c r="O646" s="1"/>
    </row>
    <row r="647" spans="2:15" s="12" customFormat="1">
      <c r="B647" s="146"/>
      <c r="D647" s="142" t="s">
        <v>95</v>
      </c>
      <c r="E647" s="342" t="s">
        <v>2</v>
      </c>
      <c r="F647" s="343" t="s">
        <v>96</v>
      </c>
      <c r="H647" s="149">
        <f>SUM(H646:H646)</f>
        <v>1.242</v>
      </c>
      <c r="O647" s="1"/>
    </row>
    <row r="648" spans="2:15" s="163" customFormat="1" ht="22.9" customHeight="1">
      <c r="B648" s="254"/>
      <c r="C648" s="135">
        <f>C645+1</f>
        <v>93</v>
      </c>
      <c r="D648" s="258" t="s">
        <v>65</v>
      </c>
      <c r="E648" s="259" t="s">
        <v>651</v>
      </c>
      <c r="F648" s="255" t="s">
        <v>568</v>
      </c>
      <c r="G648" s="256" t="s">
        <v>101</v>
      </c>
      <c r="H648" s="257">
        <f>H650</f>
        <v>2.84</v>
      </c>
      <c r="I648" s="90"/>
      <c r="J648" s="140">
        <f t="shared" si="5"/>
        <v>0</v>
      </c>
      <c r="K648" s="137"/>
      <c r="O648" s="1"/>
    </row>
    <row r="649" spans="2:15" s="11" customFormat="1">
      <c r="B649" s="141"/>
      <c r="D649" s="142" t="s">
        <v>95</v>
      </c>
      <c r="E649" s="143" t="s">
        <v>2</v>
      </c>
      <c r="F649" s="144" t="s">
        <v>1684</v>
      </c>
      <c r="H649" s="145">
        <f>0.568*5</f>
        <v>2.84</v>
      </c>
      <c r="O649" s="1"/>
    </row>
    <row r="650" spans="2:15" s="12" customFormat="1">
      <c r="B650" s="146"/>
      <c r="D650" s="142" t="s">
        <v>95</v>
      </c>
      <c r="E650" s="342" t="s">
        <v>2</v>
      </c>
      <c r="F650" s="343" t="s">
        <v>96</v>
      </c>
      <c r="H650" s="149">
        <f>SUM(H649:H649)</f>
        <v>2.84</v>
      </c>
      <c r="O650" s="1"/>
    </row>
    <row r="651" spans="2:15" s="163" customFormat="1" ht="22.9" customHeight="1">
      <c r="B651" s="254"/>
      <c r="C651" s="135">
        <f>C648+1</f>
        <v>94</v>
      </c>
      <c r="D651" s="258" t="s">
        <v>65</v>
      </c>
      <c r="E651" s="136" t="s">
        <v>647</v>
      </c>
      <c r="F651" s="255" t="s">
        <v>569</v>
      </c>
      <c r="G651" s="256" t="s">
        <v>101</v>
      </c>
      <c r="H651" s="257">
        <f>H653</f>
        <v>1.242</v>
      </c>
      <c r="I651" s="90"/>
      <c r="J651" s="140">
        <f t="shared" si="5"/>
        <v>0</v>
      </c>
      <c r="K651" s="137"/>
      <c r="O651" s="1"/>
    </row>
    <row r="652" spans="2:15" s="11" customFormat="1">
      <c r="B652" s="141"/>
      <c r="D652" s="142" t="s">
        <v>95</v>
      </c>
      <c r="E652" s="143" t="s">
        <v>2</v>
      </c>
      <c r="F652" s="144" t="s">
        <v>1683</v>
      </c>
      <c r="H652" s="145">
        <f>H647</f>
        <v>1.242</v>
      </c>
      <c r="O652" s="1"/>
    </row>
    <row r="653" spans="2:15" s="12" customFormat="1">
      <c r="B653" s="146"/>
      <c r="D653" s="142" t="s">
        <v>95</v>
      </c>
      <c r="E653" s="342" t="s">
        <v>2</v>
      </c>
      <c r="F653" s="343" t="s">
        <v>96</v>
      </c>
      <c r="H653" s="149">
        <f>SUM(H652:H652)</f>
        <v>1.242</v>
      </c>
      <c r="O653" s="1"/>
    </row>
    <row r="654" spans="2:15" s="163" customFormat="1" ht="22.9" customHeight="1">
      <c r="B654" s="254"/>
      <c r="C654" s="135">
        <f>C651+1</f>
        <v>95</v>
      </c>
      <c r="D654" s="258" t="s">
        <v>65</v>
      </c>
      <c r="E654" s="259" t="s">
        <v>648</v>
      </c>
      <c r="F654" s="255" t="s">
        <v>570</v>
      </c>
      <c r="G654" s="256" t="s">
        <v>101</v>
      </c>
      <c r="H654" s="257">
        <f>H656</f>
        <v>23.597999999999999</v>
      </c>
      <c r="I654" s="90"/>
      <c r="J654" s="140">
        <f t="shared" si="5"/>
        <v>0</v>
      </c>
      <c r="K654" s="137"/>
      <c r="O654" s="1"/>
    </row>
    <row r="655" spans="2:15" s="11" customFormat="1">
      <c r="B655" s="141"/>
      <c r="D655" s="142" t="s">
        <v>95</v>
      </c>
      <c r="E655" s="143" t="s">
        <v>2</v>
      </c>
      <c r="F655" s="144" t="s">
        <v>1685</v>
      </c>
      <c r="H655" s="145">
        <f>H653*19</f>
        <v>23.597999999999999</v>
      </c>
      <c r="O655" s="1"/>
    </row>
    <row r="656" spans="2:15" s="12" customFormat="1">
      <c r="B656" s="146"/>
      <c r="D656" s="142" t="s">
        <v>95</v>
      </c>
      <c r="E656" s="342" t="s">
        <v>2</v>
      </c>
      <c r="F656" s="343" t="s">
        <v>96</v>
      </c>
      <c r="H656" s="149">
        <f>SUM(H655:H655)</f>
        <v>23.597999999999999</v>
      </c>
      <c r="O656" s="1"/>
    </row>
    <row r="657" spans="2:15" s="163" customFormat="1" ht="22.9" customHeight="1">
      <c r="B657" s="254"/>
      <c r="C657" s="135">
        <f>C654+1</f>
        <v>96</v>
      </c>
      <c r="D657" s="258" t="s">
        <v>65</v>
      </c>
      <c r="E657" s="136" t="s">
        <v>649</v>
      </c>
      <c r="F657" s="255" t="s">
        <v>571</v>
      </c>
      <c r="G657" s="256" t="s">
        <v>101</v>
      </c>
      <c r="H657" s="257">
        <f>H659</f>
        <v>1.242</v>
      </c>
      <c r="I657" s="90"/>
      <c r="J657" s="140">
        <f t="shared" si="5"/>
        <v>0</v>
      </c>
      <c r="K657" s="137"/>
      <c r="O657" s="1"/>
    </row>
    <row r="658" spans="2:15" s="11" customFormat="1">
      <c r="B658" s="141"/>
      <c r="D658" s="142" t="s">
        <v>95</v>
      </c>
      <c r="E658" s="143" t="s">
        <v>2</v>
      </c>
      <c r="F658" s="144" t="s">
        <v>1683</v>
      </c>
      <c r="H658" s="145">
        <f>H652</f>
        <v>1.242</v>
      </c>
      <c r="O658" s="1"/>
    </row>
    <row r="659" spans="2:15" s="12" customFormat="1">
      <c r="B659" s="146"/>
      <c r="D659" s="142" t="s">
        <v>95</v>
      </c>
      <c r="E659" s="342" t="s">
        <v>2</v>
      </c>
      <c r="F659" s="343" t="s">
        <v>96</v>
      </c>
      <c r="H659" s="149">
        <f>SUM(H658:H658)</f>
        <v>1.242</v>
      </c>
      <c r="O659" s="1"/>
    </row>
    <row r="660" spans="2:15" s="164" customFormat="1" ht="22.9" customHeight="1">
      <c r="B660" s="246"/>
      <c r="C660" s="247"/>
      <c r="D660" s="248"/>
      <c r="E660" s="248" t="s">
        <v>662</v>
      </c>
      <c r="F660" s="260" t="s">
        <v>656</v>
      </c>
      <c r="G660" s="250"/>
      <c r="H660" s="251"/>
      <c r="I660" s="252"/>
      <c r="J660" s="253"/>
    </row>
    <row r="661" spans="2:15" s="163" customFormat="1" ht="28.15" customHeight="1">
      <c r="B661" s="254"/>
      <c r="C661" s="135">
        <f>C657+1</f>
        <v>97</v>
      </c>
      <c r="D661" s="258" t="s">
        <v>65</v>
      </c>
      <c r="E661" s="305" t="s">
        <v>1665</v>
      </c>
      <c r="F661" s="306" t="s">
        <v>1663</v>
      </c>
      <c r="G661" s="307" t="s">
        <v>155</v>
      </c>
      <c r="H661" s="347">
        <f>H663</f>
        <v>15</v>
      </c>
      <c r="I661" s="90"/>
      <c r="J661" s="140">
        <f t="shared" si="0"/>
        <v>0</v>
      </c>
      <c r="K661" s="137"/>
    </row>
    <row r="662" spans="2:15" s="11" customFormat="1">
      <c r="B662" s="141"/>
      <c r="D662" s="142" t="s">
        <v>95</v>
      </c>
      <c r="F662" s="144" t="s">
        <v>1677</v>
      </c>
      <c r="H662" s="145">
        <f>15</f>
        <v>15</v>
      </c>
      <c r="O662" s="1"/>
    </row>
    <row r="663" spans="2:15" s="12" customFormat="1">
      <c r="B663" s="146"/>
      <c r="D663" s="142" t="s">
        <v>95</v>
      </c>
      <c r="E663" s="342" t="s">
        <v>2</v>
      </c>
      <c r="F663" s="343" t="s">
        <v>96</v>
      </c>
      <c r="H663" s="149">
        <f>SUM(H662:H662)</f>
        <v>15</v>
      </c>
      <c r="O663" s="1"/>
    </row>
    <row r="664" spans="2:15" s="163" customFormat="1" ht="22.9" customHeight="1">
      <c r="B664" s="254"/>
      <c r="C664" s="135">
        <f>C661+1</f>
        <v>98</v>
      </c>
      <c r="D664" s="258" t="s">
        <v>65</v>
      </c>
      <c r="E664" s="259" t="s">
        <v>1973</v>
      </c>
      <c r="F664" s="255" t="s">
        <v>1667</v>
      </c>
      <c r="G664" s="256" t="s">
        <v>261</v>
      </c>
      <c r="H664" s="261">
        <f>SUM(J661:J661)</f>
        <v>0</v>
      </c>
      <c r="I664" s="280"/>
      <c r="J664" s="140">
        <f>ROUND(I664*H664%,2)</f>
        <v>0</v>
      </c>
      <c r="K664" s="137"/>
    </row>
    <row r="665" spans="2:15" s="163" customFormat="1" ht="28.15" customHeight="1">
      <c r="B665" s="254"/>
      <c r="C665" s="135">
        <f>C664+1</f>
        <v>99</v>
      </c>
      <c r="D665" s="258" t="s">
        <v>65</v>
      </c>
      <c r="E665" s="305" t="s">
        <v>1687</v>
      </c>
      <c r="F665" s="306" t="s">
        <v>1688</v>
      </c>
      <c r="G665" s="307" t="s">
        <v>155</v>
      </c>
      <c r="H665" s="347">
        <f>H667</f>
        <v>1</v>
      </c>
      <c r="I665" s="90"/>
      <c r="J665" s="140">
        <f t="shared" ref="J665" si="6">ROUND(I665*H665,2)</f>
        <v>0</v>
      </c>
      <c r="K665" s="137"/>
    </row>
    <row r="666" spans="2:15" s="11" customFormat="1">
      <c r="B666" s="141"/>
      <c r="D666" s="142" t="s">
        <v>95</v>
      </c>
      <c r="F666" s="144" t="s">
        <v>1689</v>
      </c>
      <c r="H666" s="145">
        <f>(0.5)+(0.5)</f>
        <v>1</v>
      </c>
      <c r="O666" s="1"/>
    </row>
    <row r="667" spans="2:15" s="12" customFormat="1">
      <c r="B667" s="146"/>
      <c r="D667" s="142" t="s">
        <v>95</v>
      </c>
      <c r="E667" s="342" t="s">
        <v>2</v>
      </c>
      <c r="F667" s="343" t="s">
        <v>96</v>
      </c>
      <c r="H667" s="149">
        <f>SUM(H666:H666)</f>
        <v>1</v>
      </c>
      <c r="O667" s="1"/>
    </row>
    <row r="668" spans="2:15" s="163" customFormat="1" ht="28.15" customHeight="1">
      <c r="B668" s="254"/>
      <c r="C668" s="135">
        <f>C665+1</f>
        <v>100</v>
      </c>
      <c r="D668" s="258" t="s">
        <v>65</v>
      </c>
      <c r="E668" s="305" t="s">
        <v>1691</v>
      </c>
      <c r="F668" s="306" t="s">
        <v>1690</v>
      </c>
      <c r="G668" s="307" t="s">
        <v>155</v>
      </c>
      <c r="H668" s="347">
        <f>H670</f>
        <v>5.5820000000000007</v>
      </c>
      <c r="I668" s="90"/>
      <c r="J668" s="140">
        <f t="shared" ref="J668" si="7">ROUND(I668*H668,2)</f>
        <v>0</v>
      </c>
      <c r="K668" s="137"/>
    </row>
    <row r="669" spans="2:15" s="11" customFormat="1">
      <c r="B669" s="141"/>
      <c r="D669" s="142" t="s">
        <v>95</v>
      </c>
      <c r="F669" s="144" t="s">
        <v>1692</v>
      </c>
      <c r="H669" s="145">
        <f>(1.161+0.5+3.223)+(0.25+0.448)</f>
        <v>5.5820000000000007</v>
      </c>
      <c r="O669" s="1"/>
    </row>
    <row r="670" spans="2:15" s="12" customFormat="1">
      <c r="B670" s="146"/>
      <c r="D670" s="142" t="s">
        <v>95</v>
      </c>
      <c r="E670" s="342" t="s">
        <v>2</v>
      </c>
      <c r="F670" s="343" t="s">
        <v>96</v>
      </c>
      <c r="H670" s="149">
        <f>SUM(H669:H669)</f>
        <v>5.5820000000000007</v>
      </c>
      <c r="O670" s="1"/>
    </row>
    <row r="671" spans="2:15" s="163" customFormat="1" ht="28.15" customHeight="1">
      <c r="B671" s="254"/>
      <c r="C671" s="135">
        <f>C668+1</f>
        <v>101</v>
      </c>
      <c r="D671" s="258" t="s">
        <v>65</v>
      </c>
      <c r="E671" s="305" t="s">
        <v>1693</v>
      </c>
      <c r="F671" s="306" t="s">
        <v>1694</v>
      </c>
      <c r="G671" s="307" t="s">
        <v>155</v>
      </c>
      <c r="H671" s="347">
        <f>H673</f>
        <v>1.3860000000000001</v>
      </c>
      <c r="I671" s="90"/>
      <c r="J671" s="140">
        <f t="shared" ref="J671" si="8">ROUND(I671*H671,2)</f>
        <v>0</v>
      </c>
      <c r="K671" s="137"/>
    </row>
    <row r="672" spans="2:15" s="11" customFormat="1">
      <c r="B672" s="141"/>
      <c r="D672" s="142" t="s">
        <v>95</v>
      </c>
      <c r="F672" s="144" t="s">
        <v>1695</v>
      </c>
      <c r="H672" s="145">
        <f>(0.5+0.636+0.25)</f>
        <v>1.3860000000000001</v>
      </c>
      <c r="O672" s="1"/>
    </row>
    <row r="673" spans="2:15" s="12" customFormat="1">
      <c r="B673" s="146"/>
      <c r="D673" s="142" t="s">
        <v>95</v>
      </c>
      <c r="E673" s="342" t="s">
        <v>2</v>
      </c>
      <c r="F673" s="343" t="s">
        <v>96</v>
      </c>
      <c r="H673" s="149">
        <f>SUM(H672:H672)</f>
        <v>1.3860000000000001</v>
      </c>
      <c r="O673" s="1"/>
    </row>
    <row r="674" spans="2:15" s="163" customFormat="1" ht="28.15" customHeight="1">
      <c r="B674" s="254"/>
      <c r="C674" s="135">
        <f>C671+1</f>
        <v>102</v>
      </c>
      <c r="D674" s="258" t="s">
        <v>65</v>
      </c>
      <c r="E674" s="305" t="s">
        <v>1697</v>
      </c>
      <c r="F674" s="306" t="s">
        <v>1696</v>
      </c>
      <c r="G674" s="307" t="s">
        <v>155</v>
      </c>
      <c r="H674" s="347">
        <f>H676</f>
        <v>1.9509999999999996</v>
      </c>
      <c r="I674" s="90"/>
      <c r="J674" s="140">
        <f t="shared" ref="J674" si="9">ROUND(I674*H674,2)</f>
        <v>0</v>
      </c>
      <c r="K674" s="137"/>
    </row>
    <row r="675" spans="2:15" s="11" customFormat="1" ht="27">
      <c r="B675" s="141"/>
      <c r="D675" s="142" t="s">
        <v>95</v>
      </c>
      <c r="F675" s="144" t="s">
        <v>1698</v>
      </c>
      <c r="H675" s="145">
        <f>(0.177+0.354+0.588+0.582+0.25)</f>
        <v>1.9509999999999996</v>
      </c>
      <c r="O675" s="1"/>
    </row>
    <row r="676" spans="2:15" s="12" customFormat="1">
      <c r="B676" s="146"/>
      <c r="D676" s="142" t="s">
        <v>95</v>
      </c>
      <c r="E676" s="342" t="s">
        <v>2</v>
      </c>
      <c r="F676" s="343" t="s">
        <v>96</v>
      </c>
      <c r="H676" s="149">
        <f>SUM(H675:H675)</f>
        <v>1.9509999999999996</v>
      </c>
      <c r="O676" s="1"/>
    </row>
    <row r="677" spans="2:15" s="163" customFormat="1" ht="28.15" customHeight="1">
      <c r="B677" s="254"/>
      <c r="C677" s="135">
        <f>C674+1</f>
        <v>103</v>
      </c>
      <c r="D677" s="258" t="s">
        <v>65</v>
      </c>
      <c r="E677" s="305" t="s">
        <v>1700</v>
      </c>
      <c r="F677" s="306" t="s">
        <v>1699</v>
      </c>
      <c r="G677" s="307" t="s">
        <v>265</v>
      </c>
      <c r="H677" s="347">
        <f>H679</f>
        <v>1</v>
      </c>
      <c r="I677" s="90"/>
      <c r="J677" s="140">
        <f t="shared" ref="J677" si="10">ROUND(I677*H677,2)</f>
        <v>0</v>
      </c>
      <c r="K677" s="137"/>
    </row>
    <row r="678" spans="2:15" s="11" customFormat="1">
      <c r="B678" s="141"/>
      <c r="D678" s="142" t="s">
        <v>95</v>
      </c>
      <c r="F678" s="144" t="s">
        <v>1701</v>
      </c>
      <c r="H678" s="145">
        <f>1</f>
        <v>1</v>
      </c>
      <c r="O678" s="1"/>
    </row>
    <row r="679" spans="2:15" s="12" customFormat="1">
      <c r="B679" s="146"/>
      <c r="D679" s="142" t="s">
        <v>95</v>
      </c>
      <c r="E679" s="342" t="s">
        <v>2</v>
      </c>
      <c r="F679" s="343" t="s">
        <v>96</v>
      </c>
      <c r="H679" s="149">
        <f>SUM(H678:H678)</f>
        <v>1</v>
      </c>
      <c r="O679" s="1"/>
    </row>
    <row r="680" spans="2:15" s="163" customFormat="1" ht="28.15" customHeight="1">
      <c r="B680" s="254"/>
      <c r="C680" s="135">
        <f>C677+1</f>
        <v>104</v>
      </c>
      <c r="D680" s="258" t="s">
        <v>65</v>
      </c>
      <c r="E680" s="305" t="s">
        <v>1705</v>
      </c>
      <c r="F680" s="306" t="s">
        <v>1702</v>
      </c>
      <c r="G680" s="307" t="s">
        <v>265</v>
      </c>
      <c r="H680" s="347">
        <f>H682</f>
        <v>1</v>
      </c>
      <c r="I680" s="90"/>
      <c r="J680" s="140">
        <f t="shared" ref="J680" si="11">ROUND(I680*H680,2)</f>
        <v>0</v>
      </c>
      <c r="K680" s="137"/>
    </row>
    <row r="681" spans="2:15" s="11" customFormat="1">
      <c r="B681" s="141"/>
      <c r="D681" s="142" t="s">
        <v>95</v>
      </c>
      <c r="F681" s="144" t="s">
        <v>1701</v>
      </c>
      <c r="H681" s="145">
        <f>1</f>
        <v>1</v>
      </c>
      <c r="O681" s="1"/>
    </row>
    <row r="682" spans="2:15" s="12" customFormat="1">
      <c r="B682" s="146"/>
      <c r="D682" s="142" t="s">
        <v>95</v>
      </c>
      <c r="E682" s="342" t="s">
        <v>2</v>
      </c>
      <c r="F682" s="343" t="s">
        <v>96</v>
      </c>
      <c r="H682" s="149">
        <f>SUM(H681:H681)</f>
        <v>1</v>
      </c>
      <c r="O682" s="1"/>
    </row>
    <row r="683" spans="2:15" s="163" customFormat="1" ht="28.15" customHeight="1">
      <c r="B683" s="254"/>
      <c r="C683" s="135">
        <f>C680+1</f>
        <v>105</v>
      </c>
      <c r="D683" s="258" t="s">
        <v>65</v>
      </c>
      <c r="E683" s="305" t="s">
        <v>1706</v>
      </c>
      <c r="F683" s="306" t="s">
        <v>1703</v>
      </c>
      <c r="G683" s="307" t="s">
        <v>265</v>
      </c>
      <c r="H683" s="347">
        <f>H685</f>
        <v>1</v>
      </c>
      <c r="I683" s="90"/>
      <c r="J683" s="140">
        <f t="shared" ref="J683" si="12">ROUND(I683*H683,2)</f>
        <v>0</v>
      </c>
      <c r="K683" s="137"/>
    </row>
    <row r="684" spans="2:15" s="11" customFormat="1">
      <c r="B684" s="141"/>
      <c r="D684" s="142" t="s">
        <v>95</v>
      </c>
      <c r="F684" s="144" t="s">
        <v>1704</v>
      </c>
      <c r="H684" s="145">
        <f>1</f>
        <v>1</v>
      </c>
      <c r="O684" s="1"/>
    </row>
    <row r="685" spans="2:15" s="12" customFormat="1">
      <c r="B685" s="146"/>
      <c r="D685" s="142" t="s">
        <v>95</v>
      </c>
      <c r="E685" s="342" t="s">
        <v>2</v>
      </c>
      <c r="F685" s="343" t="s">
        <v>96</v>
      </c>
      <c r="H685" s="149">
        <f>SUM(H684:H684)</f>
        <v>1</v>
      </c>
      <c r="O685" s="1"/>
    </row>
    <row r="686" spans="2:15" s="163" customFormat="1" ht="28.15" customHeight="1">
      <c r="B686" s="254"/>
      <c r="C686" s="135">
        <f>C683+1</f>
        <v>106</v>
      </c>
      <c r="D686" s="258" t="s">
        <v>65</v>
      </c>
      <c r="E686" s="305" t="s">
        <v>1708</v>
      </c>
      <c r="F686" s="306" t="s">
        <v>1707</v>
      </c>
      <c r="G686" s="307" t="s">
        <v>265</v>
      </c>
      <c r="H686" s="347">
        <f>H688</f>
        <v>2</v>
      </c>
      <c r="I686" s="90"/>
      <c r="J686" s="140">
        <f t="shared" ref="J686" si="13">ROUND(I686*H686,2)</f>
        <v>0</v>
      </c>
      <c r="K686" s="137"/>
    </row>
    <row r="687" spans="2:15" s="11" customFormat="1">
      <c r="B687" s="141"/>
      <c r="D687" s="142" t="s">
        <v>95</v>
      </c>
      <c r="F687" s="144" t="s">
        <v>1709</v>
      </c>
      <c r="H687" s="145">
        <f>(1+1)</f>
        <v>2</v>
      </c>
      <c r="O687" s="1"/>
    </row>
    <row r="688" spans="2:15" s="12" customFormat="1">
      <c r="B688" s="146"/>
      <c r="D688" s="142" t="s">
        <v>95</v>
      </c>
      <c r="E688" s="342" t="s">
        <v>2</v>
      </c>
      <c r="F688" s="343" t="s">
        <v>96</v>
      </c>
      <c r="H688" s="149">
        <f>SUM(H687:H687)</f>
        <v>2</v>
      </c>
      <c r="O688" s="1"/>
    </row>
    <row r="689" spans="2:15" s="163" customFormat="1" ht="28.15" customHeight="1">
      <c r="B689" s="254"/>
      <c r="C689" s="135">
        <f>C686+1</f>
        <v>107</v>
      </c>
      <c r="D689" s="258" t="s">
        <v>65</v>
      </c>
      <c r="E689" s="305" t="s">
        <v>1710</v>
      </c>
      <c r="F689" s="306" t="s">
        <v>1711</v>
      </c>
      <c r="G689" s="307" t="s">
        <v>265</v>
      </c>
      <c r="H689" s="347">
        <f>H691</f>
        <v>1</v>
      </c>
      <c r="I689" s="90"/>
      <c r="J689" s="140">
        <f t="shared" ref="J689" si="14">ROUND(I689*H689,2)</f>
        <v>0</v>
      </c>
      <c r="K689" s="137"/>
    </row>
    <row r="690" spans="2:15" s="11" customFormat="1">
      <c r="B690" s="141"/>
      <c r="D690" s="142" t="s">
        <v>95</v>
      </c>
      <c r="F690" s="144" t="s">
        <v>1701</v>
      </c>
      <c r="H690" s="145">
        <f>(1)</f>
        <v>1</v>
      </c>
      <c r="O690" s="1"/>
    </row>
    <row r="691" spans="2:15" s="12" customFormat="1">
      <c r="B691" s="146"/>
      <c r="D691" s="142" t="s">
        <v>95</v>
      </c>
      <c r="E691" s="342" t="s">
        <v>2</v>
      </c>
      <c r="F691" s="343" t="s">
        <v>96</v>
      </c>
      <c r="H691" s="149">
        <f>SUM(H690:H690)</f>
        <v>1</v>
      </c>
      <c r="O691" s="1"/>
    </row>
    <row r="692" spans="2:15" s="163" customFormat="1" ht="28.15" customHeight="1">
      <c r="B692" s="254"/>
      <c r="C692" s="135">
        <f>C689+1</f>
        <v>108</v>
      </c>
      <c r="D692" s="258" t="s">
        <v>65</v>
      </c>
      <c r="E692" s="305" t="s">
        <v>1712</v>
      </c>
      <c r="F692" s="306" t="s">
        <v>1713</v>
      </c>
      <c r="G692" s="307" t="s">
        <v>265</v>
      </c>
      <c r="H692" s="347">
        <f>H694</f>
        <v>3</v>
      </c>
      <c r="I692" s="90"/>
      <c r="J692" s="140">
        <f t="shared" ref="J692" si="15">ROUND(I692*H692,2)</f>
        <v>0</v>
      </c>
      <c r="K692" s="137"/>
    </row>
    <row r="693" spans="2:15" s="11" customFormat="1">
      <c r="B693" s="141"/>
      <c r="D693" s="142" t="s">
        <v>95</v>
      </c>
      <c r="F693" s="144" t="s">
        <v>1714</v>
      </c>
      <c r="H693" s="145">
        <f>(1+1+1)</f>
        <v>3</v>
      </c>
      <c r="O693" s="1"/>
    </row>
    <row r="694" spans="2:15" s="12" customFormat="1">
      <c r="B694" s="146"/>
      <c r="D694" s="142" t="s">
        <v>95</v>
      </c>
      <c r="E694" s="342" t="s">
        <v>2</v>
      </c>
      <c r="F694" s="343" t="s">
        <v>96</v>
      </c>
      <c r="H694" s="149">
        <f>SUM(H693:H693)</f>
        <v>3</v>
      </c>
      <c r="O694" s="1"/>
    </row>
    <row r="695" spans="2:15" s="163" customFormat="1" ht="28.15" customHeight="1">
      <c r="B695" s="254"/>
      <c r="C695" s="135">
        <f>C692+1</f>
        <v>109</v>
      </c>
      <c r="D695" s="258" t="s">
        <v>65</v>
      </c>
      <c r="E695" s="305" t="s">
        <v>1715</v>
      </c>
      <c r="F695" s="306" t="s">
        <v>1716</v>
      </c>
      <c r="G695" s="307" t="s">
        <v>265</v>
      </c>
      <c r="H695" s="347">
        <f>H697</f>
        <v>1</v>
      </c>
      <c r="I695" s="90"/>
      <c r="J695" s="140">
        <f t="shared" ref="J695" si="16">ROUND(I695*H695,2)</f>
        <v>0</v>
      </c>
      <c r="K695" s="137"/>
    </row>
    <row r="696" spans="2:15" s="11" customFormat="1">
      <c r="B696" s="141"/>
      <c r="D696" s="142" t="s">
        <v>95</v>
      </c>
      <c r="F696" s="144" t="s">
        <v>1701</v>
      </c>
      <c r="H696" s="145">
        <f>1</f>
        <v>1</v>
      </c>
      <c r="O696" s="1"/>
    </row>
    <row r="697" spans="2:15" s="12" customFormat="1">
      <c r="B697" s="146"/>
      <c r="D697" s="142" t="s">
        <v>95</v>
      </c>
      <c r="E697" s="342" t="s">
        <v>2</v>
      </c>
      <c r="F697" s="343" t="s">
        <v>96</v>
      </c>
      <c r="H697" s="149">
        <f>SUM(H696:H696)</f>
        <v>1</v>
      </c>
      <c r="O697" s="1"/>
    </row>
    <row r="698" spans="2:15" s="163" customFormat="1" ht="28.15" customHeight="1">
      <c r="B698" s="254"/>
      <c r="C698" s="135">
        <f>C695+1</f>
        <v>110</v>
      </c>
      <c r="D698" s="258" t="s">
        <v>65</v>
      </c>
      <c r="E698" s="305" t="s">
        <v>1717</v>
      </c>
      <c r="F698" s="306" t="s">
        <v>1718</v>
      </c>
      <c r="G698" s="307" t="s">
        <v>265</v>
      </c>
      <c r="H698" s="347">
        <f>H700</f>
        <v>3</v>
      </c>
      <c r="I698" s="90"/>
      <c r="J698" s="140">
        <f t="shared" ref="J698" si="17">ROUND(I698*H698,2)</f>
        <v>0</v>
      </c>
      <c r="K698" s="137"/>
    </row>
    <row r="699" spans="2:15" s="11" customFormat="1">
      <c r="B699" s="141"/>
      <c r="D699" s="142" t="s">
        <v>95</v>
      </c>
      <c r="F699" s="144" t="s">
        <v>1719</v>
      </c>
      <c r="H699" s="145">
        <f>(1+1+1)</f>
        <v>3</v>
      </c>
      <c r="O699" s="1"/>
    </row>
    <row r="700" spans="2:15" s="12" customFormat="1">
      <c r="B700" s="146"/>
      <c r="D700" s="142" t="s">
        <v>95</v>
      </c>
      <c r="E700" s="342" t="s">
        <v>2</v>
      </c>
      <c r="F700" s="343" t="s">
        <v>96</v>
      </c>
      <c r="H700" s="149">
        <f>SUM(H699:H699)</f>
        <v>3</v>
      </c>
      <c r="O700" s="1"/>
    </row>
    <row r="701" spans="2:15" s="163" customFormat="1" ht="28.15" customHeight="1">
      <c r="B701" s="254"/>
      <c r="C701" s="135">
        <f>C698+1</f>
        <v>111</v>
      </c>
      <c r="D701" s="258" t="s">
        <v>65</v>
      </c>
      <c r="E701" s="305" t="s">
        <v>1726</v>
      </c>
      <c r="F701" s="306" t="s">
        <v>1720</v>
      </c>
      <c r="G701" s="307" t="s">
        <v>265</v>
      </c>
      <c r="H701" s="347">
        <f>H703</f>
        <v>2</v>
      </c>
      <c r="I701" s="90"/>
      <c r="J701" s="140">
        <f t="shared" ref="J701" si="18">ROUND(I701*H701,2)</f>
        <v>0</v>
      </c>
      <c r="K701" s="137"/>
    </row>
    <row r="702" spans="2:15" s="11" customFormat="1">
      <c r="B702" s="141"/>
      <c r="D702" s="142" t="s">
        <v>95</v>
      </c>
      <c r="F702" s="144" t="s">
        <v>1709</v>
      </c>
      <c r="H702" s="145">
        <f>(1+1)</f>
        <v>2</v>
      </c>
      <c r="O702" s="1"/>
    </row>
    <row r="703" spans="2:15" s="12" customFormat="1">
      <c r="B703" s="146"/>
      <c r="D703" s="142" t="s">
        <v>95</v>
      </c>
      <c r="E703" s="342" t="s">
        <v>2</v>
      </c>
      <c r="F703" s="343" t="s">
        <v>96</v>
      </c>
      <c r="H703" s="149">
        <f>SUM(H702:H702)</f>
        <v>2</v>
      </c>
      <c r="O703" s="1"/>
    </row>
    <row r="704" spans="2:15" s="163" customFormat="1" ht="28.15" customHeight="1">
      <c r="B704" s="254"/>
      <c r="C704" s="135">
        <f>C701+1</f>
        <v>112</v>
      </c>
      <c r="D704" s="258" t="s">
        <v>65</v>
      </c>
      <c r="E704" s="305" t="s">
        <v>1727</v>
      </c>
      <c r="F704" s="306" t="s">
        <v>1721</v>
      </c>
      <c r="G704" s="307" t="s">
        <v>265</v>
      </c>
      <c r="H704" s="347">
        <f>H706</f>
        <v>1</v>
      </c>
      <c r="I704" s="90"/>
      <c r="J704" s="140">
        <f t="shared" ref="J704" si="19">ROUND(I704*H704,2)</f>
        <v>0</v>
      </c>
      <c r="K704" s="137"/>
    </row>
    <row r="705" spans="2:15" s="11" customFormat="1">
      <c r="B705" s="141"/>
      <c r="D705" s="142" t="s">
        <v>95</v>
      </c>
      <c r="F705" s="144" t="s">
        <v>1701</v>
      </c>
      <c r="H705" s="145">
        <f>1</f>
        <v>1</v>
      </c>
      <c r="O705" s="1"/>
    </row>
    <row r="706" spans="2:15" s="12" customFormat="1">
      <c r="B706" s="146"/>
      <c r="D706" s="142" t="s">
        <v>95</v>
      </c>
      <c r="E706" s="342" t="s">
        <v>2</v>
      </c>
      <c r="F706" s="343" t="s">
        <v>96</v>
      </c>
      <c r="H706" s="149">
        <f>SUM(H705:H705)</f>
        <v>1</v>
      </c>
      <c r="O706" s="1"/>
    </row>
    <row r="707" spans="2:15" s="163" customFormat="1" ht="28.15" customHeight="1">
      <c r="B707" s="254"/>
      <c r="C707" s="135">
        <f>C704+1</f>
        <v>113</v>
      </c>
      <c r="D707" s="258" t="s">
        <v>65</v>
      </c>
      <c r="E707" s="305" t="s">
        <v>1728</v>
      </c>
      <c r="F707" s="306" t="s">
        <v>1722</v>
      </c>
      <c r="G707" s="307" t="s">
        <v>265</v>
      </c>
      <c r="H707" s="347">
        <f>H709</f>
        <v>1</v>
      </c>
      <c r="I707" s="90"/>
      <c r="J707" s="140">
        <f t="shared" ref="J707" si="20">ROUND(I707*H707,2)</f>
        <v>0</v>
      </c>
      <c r="K707" s="137"/>
    </row>
    <row r="708" spans="2:15" s="11" customFormat="1">
      <c r="B708" s="141"/>
      <c r="D708" s="142" t="s">
        <v>95</v>
      </c>
      <c r="F708" s="144" t="s">
        <v>1701</v>
      </c>
      <c r="H708" s="145">
        <f>1</f>
        <v>1</v>
      </c>
      <c r="O708" s="1"/>
    </row>
    <row r="709" spans="2:15" s="12" customFormat="1">
      <c r="B709" s="146"/>
      <c r="D709" s="142" t="s">
        <v>95</v>
      </c>
      <c r="E709" s="342" t="s">
        <v>2</v>
      </c>
      <c r="F709" s="343" t="s">
        <v>96</v>
      </c>
      <c r="H709" s="149">
        <f>SUM(H708:H708)</f>
        <v>1</v>
      </c>
      <c r="O709" s="1"/>
    </row>
    <row r="710" spans="2:15" s="163" customFormat="1" ht="28.15" customHeight="1">
      <c r="B710" s="254"/>
      <c r="C710" s="135">
        <f>C707+1</f>
        <v>114</v>
      </c>
      <c r="D710" s="258" t="s">
        <v>65</v>
      </c>
      <c r="E710" s="305" t="s">
        <v>1723</v>
      </c>
      <c r="F710" s="306" t="s">
        <v>1724</v>
      </c>
      <c r="G710" s="307" t="s">
        <v>66</v>
      </c>
      <c r="H710" s="347">
        <f>H712</f>
        <v>1</v>
      </c>
      <c r="I710" s="90"/>
      <c r="J710" s="140">
        <f t="shared" ref="J710" si="21">ROUND(I710*H710,2)</f>
        <v>0</v>
      </c>
      <c r="K710" s="137"/>
    </row>
    <row r="711" spans="2:15" s="11" customFormat="1" ht="27">
      <c r="B711" s="141"/>
      <c r="D711" s="142" t="s">
        <v>95</v>
      </c>
      <c r="F711" s="144" t="s">
        <v>1725</v>
      </c>
      <c r="H711" s="145">
        <f>1</f>
        <v>1</v>
      </c>
      <c r="O711" s="1"/>
    </row>
    <row r="712" spans="2:15" s="12" customFormat="1">
      <c r="B712" s="146"/>
      <c r="D712" s="142" t="s">
        <v>95</v>
      </c>
      <c r="E712" s="342" t="s">
        <v>2</v>
      </c>
      <c r="F712" s="343" t="s">
        <v>96</v>
      </c>
      <c r="H712" s="149">
        <f>SUM(H711:H711)</f>
        <v>1</v>
      </c>
      <c r="O712" s="1"/>
    </row>
    <row r="713" spans="2:15" s="163" customFormat="1" ht="22.9" customHeight="1">
      <c r="B713" s="254"/>
      <c r="C713" s="135">
        <f>C710+1</f>
        <v>115</v>
      </c>
      <c r="D713" s="258" t="s">
        <v>65</v>
      </c>
      <c r="E713" s="259" t="s">
        <v>1974</v>
      </c>
      <c r="F713" s="255" t="s">
        <v>2005</v>
      </c>
      <c r="G713" s="256" t="s">
        <v>155</v>
      </c>
      <c r="H713" s="257">
        <f>H718</f>
        <v>9.9190000000000005</v>
      </c>
      <c r="I713" s="90"/>
      <c r="J713" s="140">
        <f t="shared" ref="J713" si="22">ROUND(I713*H713,2)</f>
        <v>0</v>
      </c>
      <c r="K713" s="137"/>
    </row>
    <row r="714" spans="2:15" s="11" customFormat="1">
      <c r="B714" s="141"/>
      <c r="D714" s="142" t="s">
        <v>95</v>
      </c>
      <c r="F714" s="144" t="s">
        <v>1773</v>
      </c>
      <c r="H714" s="145">
        <f>(0.5)+(0.5)</f>
        <v>1</v>
      </c>
      <c r="O714" s="1"/>
    </row>
    <row r="715" spans="2:15" s="11" customFormat="1" ht="27">
      <c r="B715" s="141"/>
      <c r="D715" s="142" t="s">
        <v>95</v>
      </c>
      <c r="F715" s="144" t="s">
        <v>1774</v>
      </c>
      <c r="H715" s="145">
        <f>(1.161+0.5+3.223)+(0.25+0.448)</f>
        <v>5.5820000000000007</v>
      </c>
      <c r="O715" s="1"/>
    </row>
    <row r="716" spans="2:15" s="11" customFormat="1">
      <c r="B716" s="141"/>
      <c r="D716" s="142" t="s">
        <v>95</v>
      </c>
      <c r="F716" s="144" t="s">
        <v>1775</v>
      </c>
      <c r="H716" s="145">
        <f>(0.5+0.636+0.25)</f>
        <v>1.3860000000000001</v>
      </c>
      <c r="O716" s="1"/>
    </row>
    <row r="717" spans="2:15" s="11" customFormat="1" ht="27">
      <c r="B717" s="141"/>
      <c r="D717" s="142" t="s">
        <v>95</v>
      </c>
      <c r="F717" s="144" t="s">
        <v>1776</v>
      </c>
      <c r="H717" s="145">
        <f>(0.177+0.354+0.588+0.582+0.25)</f>
        <v>1.9509999999999996</v>
      </c>
      <c r="O717" s="1"/>
    </row>
    <row r="718" spans="2:15" s="12" customFormat="1">
      <c r="B718" s="146"/>
      <c r="D718" s="142" t="s">
        <v>95</v>
      </c>
      <c r="E718" s="342" t="s">
        <v>2</v>
      </c>
      <c r="F718" s="343" t="s">
        <v>96</v>
      </c>
      <c r="H718" s="149">
        <f>SUM(H714:H717)</f>
        <v>9.9190000000000005</v>
      </c>
      <c r="O718" s="1"/>
    </row>
    <row r="719" spans="2:15" s="163" customFormat="1" ht="27">
      <c r="B719" s="254"/>
      <c r="C719" s="135">
        <f>C713+1</f>
        <v>116</v>
      </c>
      <c r="D719" s="258" t="s">
        <v>65</v>
      </c>
      <c r="E719" s="259" t="s">
        <v>1973</v>
      </c>
      <c r="F719" s="255" t="s">
        <v>1971</v>
      </c>
      <c r="G719" s="256" t="s">
        <v>261</v>
      </c>
      <c r="H719" s="261">
        <f>SUM(J665:J718)</f>
        <v>0</v>
      </c>
      <c r="I719" s="280"/>
      <c r="J719" s="140">
        <f>ROUND(I719*H719%,2)</f>
        <v>0</v>
      </c>
      <c r="K719" s="137"/>
    </row>
    <row r="720" spans="2:15" s="163" customFormat="1" ht="22.9" customHeight="1">
      <c r="B720" s="254"/>
      <c r="C720" s="135">
        <f>C719+1</f>
        <v>117</v>
      </c>
      <c r="D720" s="258" t="s">
        <v>65</v>
      </c>
      <c r="E720" s="259" t="s">
        <v>1972</v>
      </c>
      <c r="F720" s="255" t="s">
        <v>1686</v>
      </c>
      <c r="G720" s="256" t="s">
        <v>261</v>
      </c>
      <c r="H720" s="261">
        <f>SUM(J661:J719)</f>
        <v>0</v>
      </c>
      <c r="I720" s="280"/>
      <c r="J720" s="140">
        <f>ROUND(I720*H720%,2)</f>
        <v>0</v>
      </c>
      <c r="K720" s="137"/>
    </row>
    <row r="721" spans="2:15" s="164" customFormat="1" ht="22.9" customHeight="1">
      <c r="B721" s="246"/>
      <c r="C721" s="247"/>
      <c r="D721" s="248"/>
      <c r="E721" s="248" t="s">
        <v>658</v>
      </c>
      <c r="F721" s="260" t="s">
        <v>657</v>
      </c>
      <c r="G721" s="250"/>
      <c r="H721" s="251"/>
      <c r="I721" s="252"/>
      <c r="J721" s="253"/>
    </row>
    <row r="722" spans="2:15" s="163" customFormat="1" ht="22.9" customHeight="1">
      <c r="B722" s="254"/>
      <c r="C722" s="135">
        <f>C720+1</f>
        <v>118</v>
      </c>
      <c r="D722" s="258" t="s">
        <v>65</v>
      </c>
      <c r="E722" s="305" t="s">
        <v>1660</v>
      </c>
      <c r="F722" s="306" t="s">
        <v>1664</v>
      </c>
      <c r="G722" s="307" t="s">
        <v>155</v>
      </c>
      <c r="H722" s="347">
        <f>H724</f>
        <v>24</v>
      </c>
      <c r="I722" s="90"/>
      <c r="J722" s="140">
        <f t="shared" si="0"/>
        <v>0</v>
      </c>
      <c r="K722" s="137"/>
    </row>
    <row r="723" spans="2:15" s="11" customFormat="1" ht="27">
      <c r="B723" s="141"/>
      <c r="D723" s="142" t="s">
        <v>95</v>
      </c>
      <c r="F723" s="144" t="s">
        <v>1675</v>
      </c>
      <c r="H723" s="145">
        <f>24</f>
        <v>24</v>
      </c>
      <c r="O723" s="1"/>
    </row>
    <row r="724" spans="2:15" s="12" customFormat="1">
      <c r="B724" s="146"/>
      <c r="D724" s="142" t="s">
        <v>95</v>
      </c>
      <c r="E724" s="342" t="s">
        <v>2</v>
      </c>
      <c r="F724" s="343" t="s">
        <v>96</v>
      </c>
      <c r="H724" s="149">
        <f>SUM(H723:H723)</f>
        <v>24</v>
      </c>
      <c r="O724" s="1"/>
    </row>
    <row r="725" spans="2:15" s="163" customFormat="1" ht="22.9" customHeight="1">
      <c r="B725" s="254"/>
      <c r="C725" s="135">
        <f>C722+1</f>
        <v>119</v>
      </c>
      <c r="D725" s="258" t="s">
        <v>65</v>
      </c>
      <c r="E725" s="259" t="s">
        <v>1968</v>
      </c>
      <c r="F725" s="255" t="s">
        <v>1662</v>
      </c>
      <c r="G725" s="256" t="s">
        <v>261</v>
      </c>
      <c r="H725" s="261">
        <f>SUM(J722:J722)</f>
        <v>0</v>
      </c>
      <c r="I725" s="280"/>
      <c r="J725" s="140">
        <f>ROUND(I725*H725%,2)</f>
        <v>0</v>
      </c>
      <c r="K725" s="137"/>
    </row>
    <row r="726" spans="2:15" s="163" customFormat="1" ht="28.15" customHeight="1">
      <c r="B726" s="254"/>
      <c r="C726" s="135">
        <f>C725+1</f>
        <v>120</v>
      </c>
      <c r="D726" s="258" t="s">
        <v>65</v>
      </c>
      <c r="E726" s="305" t="s">
        <v>1754</v>
      </c>
      <c r="F726" s="306" t="s">
        <v>1729</v>
      </c>
      <c r="G726" s="307" t="s">
        <v>155</v>
      </c>
      <c r="H726" s="347">
        <f>H728</f>
        <v>27.689999999999998</v>
      </c>
      <c r="I726" s="90"/>
      <c r="J726" s="140">
        <f t="shared" ref="J726" si="23">ROUND(I726*H726,2)</f>
        <v>0</v>
      </c>
      <c r="K726" s="137"/>
    </row>
    <row r="727" spans="2:15" s="11" customFormat="1" ht="40.5">
      <c r="B727" s="141"/>
      <c r="D727" s="142" t="s">
        <v>95</v>
      </c>
      <c r="F727" s="144" t="s">
        <v>1733</v>
      </c>
      <c r="H727" s="145">
        <f>(0.9+1.85+0.5+0.125+3.25+2+2+0.35+2+0.68+0.19)*2</f>
        <v>27.689999999999998</v>
      </c>
      <c r="O727" s="1"/>
    </row>
    <row r="728" spans="2:15" s="12" customFormat="1">
      <c r="B728" s="146"/>
      <c r="D728" s="142" t="s">
        <v>95</v>
      </c>
      <c r="E728" s="342" t="s">
        <v>2</v>
      </c>
      <c r="F728" s="343" t="s">
        <v>96</v>
      </c>
      <c r="H728" s="149">
        <f>SUM(H727:H727)</f>
        <v>27.689999999999998</v>
      </c>
      <c r="O728" s="1"/>
    </row>
    <row r="729" spans="2:15" s="163" customFormat="1" ht="28.15" customHeight="1">
      <c r="B729" s="254"/>
      <c r="C729" s="135">
        <f>C726+1</f>
        <v>121</v>
      </c>
      <c r="D729" s="258" t="s">
        <v>65</v>
      </c>
      <c r="E729" s="305" t="s">
        <v>1755</v>
      </c>
      <c r="F729" s="306" t="s">
        <v>1730</v>
      </c>
      <c r="G729" s="307" t="s">
        <v>155</v>
      </c>
      <c r="H729" s="347">
        <f>H731</f>
        <v>2.46</v>
      </c>
      <c r="I729" s="90"/>
      <c r="J729" s="140">
        <f t="shared" ref="J729" si="24">ROUND(I729*H729,2)</f>
        <v>0</v>
      </c>
      <c r="K729" s="137"/>
    </row>
    <row r="730" spans="2:15" s="11" customFormat="1">
      <c r="B730" s="141"/>
      <c r="D730" s="142" t="s">
        <v>95</v>
      </c>
      <c r="F730" s="144" t="s">
        <v>1732</v>
      </c>
      <c r="H730" s="145">
        <f>(0.125+1.105)*2</f>
        <v>2.46</v>
      </c>
      <c r="O730" s="1"/>
    </row>
    <row r="731" spans="2:15" s="12" customFormat="1">
      <c r="B731" s="146"/>
      <c r="D731" s="142" t="s">
        <v>95</v>
      </c>
      <c r="E731" s="342" t="s">
        <v>2</v>
      </c>
      <c r="F731" s="343" t="s">
        <v>96</v>
      </c>
      <c r="H731" s="149">
        <f>SUM(H730:H730)</f>
        <v>2.46</v>
      </c>
      <c r="O731" s="1"/>
    </row>
    <row r="732" spans="2:15" s="163" customFormat="1" ht="28.15" customHeight="1">
      <c r="B732" s="254"/>
      <c r="C732" s="135">
        <f>C729+1</f>
        <v>122</v>
      </c>
      <c r="D732" s="258" t="s">
        <v>65</v>
      </c>
      <c r="E732" s="305" t="s">
        <v>1756</v>
      </c>
      <c r="F732" s="306" t="s">
        <v>1734</v>
      </c>
      <c r="G732" s="307" t="s">
        <v>265</v>
      </c>
      <c r="H732" s="347">
        <f>H734</f>
        <v>8</v>
      </c>
      <c r="I732" s="90"/>
      <c r="J732" s="140">
        <f t="shared" ref="J732" si="25">ROUND(I732*H732,2)</f>
        <v>0</v>
      </c>
      <c r="K732" s="137"/>
    </row>
    <row r="733" spans="2:15" s="11" customFormat="1" ht="27">
      <c r="B733" s="141"/>
      <c r="D733" s="142" t="s">
        <v>95</v>
      </c>
      <c r="F733" s="144" t="s">
        <v>1737</v>
      </c>
      <c r="H733" s="145">
        <f>(4)*2</f>
        <v>8</v>
      </c>
      <c r="O733" s="1"/>
    </row>
    <row r="734" spans="2:15" s="12" customFormat="1">
      <c r="B734" s="146"/>
      <c r="D734" s="142" t="s">
        <v>95</v>
      </c>
      <c r="E734" s="342" t="s">
        <v>2</v>
      </c>
      <c r="F734" s="343" t="s">
        <v>96</v>
      </c>
      <c r="H734" s="149">
        <f>SUM(H733:H733)</f>
        <v>8</v>
      </c>
      <c r="O734" s="1"/>
    </row>
    <row r="735" spans="2:15" s="163" customFormat="1" ht="28.15" customHeight="1">
      <c r="B735" s="254"/>
      <c r="C735" s="135">
        <f>C732+1</f>
        <v>123</v>
      </c>
      <c r="D735" s="258" t="s">
        <v>65</v>
      </c>
      <c r="E735" s="305" t="s">
        <v>1757</v>
      </c>
      <c r="F735" s="306" t="s">
        <v>1735</v>
      </c>
      <c r="G735" s="307" t="s">
        <v>265</v>
      </c>
      <c r="H735" s="347">
        <f>H737</f>
        <v>8</v>
      </c>
      <c r="I735" s="90"/>
      <c r="J735" s="140">
        <f t="shared" ref="J735" si="26">ROUND(I735*H735,2)</f>
        <v>0</v>
      </c>
      <c r="K735" s="137"/>
    </row>
    <row r="736" spans="2:15" s="11" customFormat="1" ht="27">
      <c r="B736" s="141"/>
      <c r="D736" s="142" t="s">
        <v>95</v>
      </c>
      <c r="F736" s="144" t="s">
        <v>1737</v>
      </c>
      <c r="H736" s="145">
        <f>(4)*2</f>
        <v>8</v>
      </c>
      <c r="O736" s="1"/>
    </row>
    <row r="737" spans="2:15" s="12" customFormat="1">
      <c r="B737" s="146"/>
      <c r="D737" s="142" t="s">
        <v>95</v>
      </c>
      <c r="E737" s="342" t="s">
        <v>2</v>
      </c>
      <c r="F737" s="343" t="s">
        <v>96</v>
      </c>
      <c r="H737" s="149">
        <f>SUM(H736:H736)</f>
        <v>8</v>
      </c>
      <c r="O737" s="1"/>
    </row>
    <row r="738" spans="2:15" s="163" customFormat="1" ht="28.15" customHeight="1">
      <c r="B738" s="254"/>
      <c r="C738" s="135">
        <f>C735+1</f>
        <v>124</v>
      </c>
      <c r="D738" s="258" t="s">
        <v>65</v>
      </c>
      <c r="E738" s="305" t="s">
        <v>1758</v>
      </c>
      <c r="F738" s="306" t="s">
        <v>1738</v>
      </c>
      <c r="G738" s="307" t="s">
        <v>66</v>
      </c>
      <c r="H738" s="347">
        <f>H740</f>
        <v>1</v>
      </c>
      <c r="I738" s="90"/>
      <c r="J738" s="140">
        <f t="shared" ref="J738" si="27">ROUND(I738*H738,2)</f>
        <v>0</v>
      </c>
      <c r="K738" s="137"/>
    </row>
    <row r="739" spans="2:15" s="11" customFormat="1" ht="27">
      <c r="B739" s="141"/>
      <c r="D739" s="142" t="s">
        <v>95</v>
      </c>
      <c r="F739" s="144" t="s">
        <v>1736</v>
      </c>
      <c r="H739" s="145">
        <f>1</f>
        <v>1</v>
      </c>
      <c r="O739" s="1"/>
    </row>
    <row r="740" spans="2:15" s="12" customFormat="1">
      <c r="B740" s="146"/>
      <c r="D740" s="142" t="s">
        <v>95</v>
      </c>
      <c r="E740" s="342" t="s">
        <v>2</v>
      </c>
      <c r="F740" s="343" t="s">
        <v>96</v>
      </c>
      <c r="H740" s="149">
        <f>SUM(H739:H739)</f>
        <v>1</v>
      </c>
      <c r="O740" s="1"/>
    </row>
    <row r="741" spans="2:15" s="163" customFormat="1" ht="28.15" customHeight="1">
      <c r="B741" s="254"/>
      <c r="C741" s="135">
        <f>C738+1</f>
        <v>125</v>
      </c>
      <c r="D741" s="258" t="s">
        <v>65</v>
      </c>
      <c r="E741" s="305" t="s">
        <v>1759</v>
      </c>
      <c r="F741" s="306" t="s">
        <v>1724</v>
      </c>
      <c r="G741" s="307" t="s">
        <v>66</v>
      </c>
      <c r="H741" s="347">
        <f>H743</f>
        <v>1</v>
      </c>
      <c r="I741" s="90"/>
      <c r="J741" s="140">
        <f t="shared" ref="J741" si="28">ROUND(I741*H741,2)</f>
        <v>0</v>
      </c>
      <c r="K741" s="137"/>
    </row>
    <row r="742" spans="2:15" s="11" customFormat="1" ht="27">
      <c r="B742" s="141"/>
      <c r="D742" s="142" t="s">
        <v>95</v>
      </c>
      <c r="F742" s="144" t="s">
        <v>1736</v>
      </c>
      <c r="H742" s="145">
        <f>1</f>
        <v>1</v>
      </c>
      <c r="O742" s="1"/>
    </row>
    <row r="743" spans="2:15" s="12" customFormat="1">
      <c r="B743" s="146"/>
      <c r="D743" s="142" t="s">
        <v>95</v>
      </c>
      <c r="E743" s="342" t="s">
        <v>2</v>
      </c>
      <c r="F743" s="343" t="s">
        <v>96</v>
      </c>
      <c r="H743" s="149">
        <f>SUM(H742:H742)</f>
        <v>1</v>
      </c>
      <c r="O743" s="1"/>
    </row>
    <row r="744" spans="2:15" s="163" customFormat="1" ht="24" customHeight="1">
      <c r="B744" s="254"/>
      <c r="C744" s="135">
        <f>C741+1</f>
        <v>126</v>
      </c>
      <c r="D744" s="258" t="s">
        <v>65</v>
      </c>
      <c r="E744" s="259" t="s">
        <v>1969</v>
      </c>
      <c r="F744" s="255" t="s">
        <v>2004</v>
      </c>
      <c r="G744" s="256" t="s">
        <v>155</v>
      </c>
      <c r="H744" s="257">
        <f>H747</f>
        <v>30.15</v>
      </c>
      <c r="I744" s="90"/>
      <c r="J744" s="140">
        <f t="shared" ref="J744" si="29">ROUND(I744*H744,2)</f>
        <v>0</v>
      </c>
      <c r="K744" s="137"/>
    </row>
    <row r="745" spans="2:15" s="11" customFormat="1" ht="40.5">
      <c r="B745" s="141"/>
      <c r="D745" s="142" t="s">
        <v>95</v>
      </c>
      <c r="F745" s="144" t="s">
        <v>1733</v>
      </c>
      <c r="H745" s="145">
        <f>(0.9+1.85+0.5+0.125+3.25+2+2+0.35+2+0.68+0.19)*2</f>
        <v>27.689999999999998</v>
      </c>
      <c r="O745" s="1"/>
    </row>
    <row r="746" spans="2:15" s="11" customFormat="1">
      <c r="B746" s="141"/>
      <c r="D746" s="142" t="s">
        <v>95</v>
      </c>
      <c r="F746" s="144" t="s">
        <v>1732</v>
      </c>
      <c r="H746" s="145">
        <f>(0.125+1.105)*2</f>
        <v>2.46</v>
      </c>
      <c r="O746" s="1"/>
    </row>
    <row r="747" spans="2:15" s="12" customFormat="1">
      <c r="B747" s="146"/>
      <c r="D747" s="142" t="s">
        <v>95</v>
      </c>
      <c r="E747" s="342" t="s">
        <v>2</v>
      </c>
      <c r="F747" s="343" t="s">
        <v>96</v>
      </c>
      <c r="H747" s="149">
        <f>SUM(H745:H746)</f>
        <v>30.15</v>
      </c>
      <c r="O747" s="1"/>
    </row>
    <row r="748" spans="2:15" s="163" customFormat="1" ht="27">
      <c r="B748" s="254"/>
      <c r="C748" s="135">
        <f>C744+1</f>
        <v>127</v>
      </c>
      <c r="D748" s="258" t="s">
        <v>65</v>
      </c>
      <c r="E748" s="259" t="s">
        <v>1968</v>
      </c>
      <c r="F748" s="255" t="s">
        <v>1970</v>
      </c>
      <c r="G748" s="256" t="s">
        <v>261</v>
      </c>
      <c r="H748" s="261">
        <f>SUM(J726:J747)</f>
        <v>0</v>
      </c>
      <c r="I748" s="280"/>
      <c r="J748" s="140">
        <f>ROUND(I748*H748%,2)</f>
        <v>0</v>
      </c>
      <c r="K748" s="137"/>
    </row>
    <row r="749" spans="2:15" s="163" customFormat="1" ht="22.9" customHeight="1">
      <c r="B749" s="254"/>
      <c r="C749" s="135">
        <f>C748+1</f>
        <v>128</v>
      </c>
      <c r="D749" s="258" t="s">
        <v>65</v>
      </c>
      <c r="E749" s="259" t="s">
        <v>1967</v>
      </c>
      <c r="F749" s="255" t="s">
        <v>1661</v>
      </c>
      <c r="G749" s="256" t="s">
        <v>261</v>
      </c>
      <c r="H749" s="261">
        <f>SUM(J722:J748)</f>
        <v>0</v>
      </c>
      <c r="I749" s="280"/>
      <c r="J749" s="140">
        <f>ROUND(I749*H749%,2)</f>
        <v>0</v>
      </c>
      <c r="K749" s="137"/>
    </row>
    <row r="750" spans="2:15" s="164" customFormat="1" ht="22.9" customHeight="1">
      <c r="B750" s="246"/>
      <c r="C750" s="247"/>
      <c r="D750" s="248"/>
      <c r="E750" s="248" t="s">
        <v>663</v>
      </c>
      <c r="F750" s="260" t="s">
        <v>659</v>
      </c>
      <c r="G750" s="250"/>
      <c r="H750" s="251"/>
      <c r="I750" s="252"/>
      <c r="J750" s="253"/>
    </row>
    <row r="751" spans="2:15" s="163" customFormat="1" ht="22.9" customHeight="1">
      <c r="B751" s="254"/>
      <c r="C751" s="258">
        <f>C749+1</f>
        <v>129</v>
      </c>
      <c r="D751" s="258" t="s">
        <v>65</v>
      </c>
      <c r="E751" s="305" t="s">
        <v>1760</v>
      </c>
      <c r="F751" s="306" t="s">
        <v>1649</v>
      </c>
      <c r="G751" s="307" t="s">
        <v>265</v>
      </c>
      <c r="H751" s="347">
        <f>H753</f>
        <v>1</v>
      </c>
      <c r="I751" s="90"/>
      <c r="J751" s="140">
        <f t="shared" ref="J751:J815" si="30">ROUND(I751*H751,2)</f>
        <v>0</v>
      </c>
      <c r="K751" s="137"/>
    </row>
    <row r="752" spans="2:15" s="11" customFormat="1">
      <c r="B752" s="141"/>
      <c r="D752" s="142" t="s">
        <v>95</v>
      </c>
      <c r="F752" s="144" t="s">
        <v>1668</v>
      </c>
      <c r="H752" s="145">
        <f>1</f>
        <v>1</v>
      </c>
      <c r="O752" s="1"/>
    </row>
    <row r="753" spans="2:15" s="12" customFormat="1">
      <c r="B753" s="146"/>
      <c r="D753" s="142" t="s">
        <v>95</v>
      </c>
      <c r="E753" s="342" t="s">
        <v>2</v>
      </c>
      <c r="F753" s="343" t="s">
        <v>96</v>
      </c>
      <c r="H753" s="149">
        <f>SUM(H752:H752)</f>
        <v>1</v>
      </c>
      <c r="O753" s="1"/>
    </row>
    <row r="754" spans="2:15" s="163" customFormat="1" ht="22.9" customHeight="1">
      <c r="B754" s="254"/>
      <c r="C754" s="135">
        <f t="shared" ref="C754" si="31">C751+1</f>
        <v>130</v>
      </c>
      <c r="D754" s="258" t="s">
        <v>65</v>
      </c>
      <c r="E754" s="305" t="s">
        <v>1761</v>
      </c>
      <c r="F754" s="306" t="s">
        <v>1650</v>
      </c>
      <c r="G754" s="307" t="s">
        <v>265</v>
      </c>
      <c r="H754" s="347">
        <f>H756</f>
        <v>1</v>
      </c>
      <c r="I754" s="90"/>
      <c r="J754" s="140">
        <f t="shared" si="30"/>
        <v>0</v>
      </c>
      <c r="K754" s="137"/>
    </row>
    <row r="755" spans="2:15" s="11" customFormat="1">
      <c r="B755" s="141"/>
      <c r="D755" s="142" t="s">
        <v>95</v>
      </c>
      <c r="F755" s="144" t="s">
        <v>1669</v>
      </c>
      <c r="H755" s="145">
        <f>1</f>
        <v>1</v>
      </c>
      <c r="O755" s="1"/>
    </row>
    <row r="756" spans="2:15" s="12" customFormat="1">
      <c r="B756" s="146"/>
      <c r="D756" s="142" t="s">
        <v>95</v>
      </c>
      <c r="E756" s="342" t="s">
        <v>2</v>
      </c>
      <c r="F756" s="343" t="s">
        <v>96</v>
      </c>
      <c r="H756" s="149">
        <f>SUM(H755:H755)</f>
        <v>1</v>
      </c>
      <c r="O756" s="1"/>
    </row>
    <row r="757" spans="2:15" s="163" customFormat="1" ht="22.9" customHeight="1">
      <c r="B757" s="254"/>
      <c r="C757" s="135">
        <f>C754+1</f>
        <v>131</v>
      </c>
      <c r="D757" s="258" t="s">
        <v>65</v>
      </c>
      <c r="E757" s="305" t="s">
        <v>1762</v>
      </c>
      <c r="F757" s="306" t="s">
        <v>1651</v>
      </c>
      <c r="G757" s="307" t="s">
        <v>265</v>
      </c>
      <c r="H757" s="347">
        <f>H759</f>
        <v>1</v>
      </c>
      <c r="I757" s="90"/>
      <c r="J757" s="140">
        <f t="shared" si="30"/>
        <v>0</v>
      </c>
      <c r="K757" s="137"/>
    </row>
    <row r="758" spans="2:15" s="11" customFormat="1">
      <c r="B758" s="141"/>
      <c r="D758" s="142" t="s">
        <v>95</v>
      </c>
      <c r="F758" s="144" t="s">
        <v>1670</v>
      </c>
      <c r="H758" s="145">
        <f>1</f>
        <v>1</v>
      </c>
      <c r="O758" s="1"/>
    </row>
    <row r="759" spans="2:15" s="12" customFormat="1">
      <c r="B759" s="146"/>
      <c r="D759" s="142" t="s">
        <v>95</v>
      </c>
      <c r="E759" s="342" t="s">
        <v>2</v>
      </c>
      <c r="F759" s="343" t="s">
        <v>96</v>
      </c>
      <c r="H759" s="149">
        <f>SUM(H758:H758)</f>
        <v>1</v>
      </c>
      <c r="O759" s="1"/>
    </row>
    <row r="760" spans="2:15" s="163" customFormat="1" ht="22.9" customHeight="1">
      <c r="B760" s="254"/>
      <c r="C760" s="135">
        <f>C757+1</f>
        <v>132</v>
      </c>
      <c r="D760" s="258" t="s">
        <v>65</v>
      </c>
      <c r="E760" s="305" t="s">
        <v>1763</v>
      </c>
      <c r="F760" s="306" t="s">
        <v>1652</v>
      </c>
      <c r="G760" s="307" t="s">
        <v>265</v>
      </c>
      <c r="H760" s="347">
        <f>H762</f>
        <v>1</v>
      </c>
      <c r="I760" s="90"/>
      <c r="J760" s="140">
        <f t="shared" si="30"/>
        <v>0</v>
      </c>
      <c r="K760" s="137"/>
    </row>
    <row r="761" spans="2:15" s="11" customFormat="1">
      <c r="B761" s="141"/>
      <c r="D761" s="142" t="s">
        <v>95</v>
      </c>
      <c r="F761" s="144" t="s">
        <v>1672</v>
      </c>
      <c r="H761" s="145">
        <f>1</f>
        <v>1</v>
      </c>
      <c r="O761" s="1"/>
    </row>
    <row r="762" spans="2:15" s="12" customFormat="1">
      <c r="B762" s="146"/>
      <c r="D762" s="142" t="s">
        <v>95</v>
      </c>
      <c r="E762" s="342" t="s">
        <v>2</v>
      </c>
      <c r="F762" s="343" t="s">
        <v>96</v>
      </c>
      <c r="H762" s="149">
        <f>SUM(H761:H761)</f>
        <v>1</v>
      </c>
      <c r="O762" s="1"/>
    </row>
    <row r="763" spans="2:15" s="163" customFormat="1" ht="22.9" customHeight="1">
      <c r="B763" s="254"/>
      <c r="C763" s="135">
        <f>C760+1</f>
        <v>133</v>
      </c>
      <c r="D763" s="258" t="s">
        <v>65</v>
      </c>
      <c r="E763" s="305" t="s">
        <v>1764</v>
      </c>
      <c r="F763" s="306" t="s">
        <v>1653</v>
      </c>
      <c r="G763" s="256" t="s">
        <v>265</v>
      </c>
      <c r="H763" s="347">
        <f>H765</f>
        <v>1</v>
      </c>
      <c r="I763" s="90"/>
      <c r="J763" s="140">
        <f t="shared" si="30"/>
        <v>0</v>
      </c>
      <c r="K763" s="137"/>
    </row>
    <row r="764" spans="2:15" s="11" customFormat="1">
      <c r="B764" s="141"/>
      <c r="D764" s="142" t="s">
        <v>95</v>
      </c>
      <c r="F764" s="144" t="s">
        <v>1671</v>
      </c>
      <c r="H764" s="145">
        <f>1</f>
        <v>1</v>
      </c>
      <c r="O764" s="1"/>
    </row>
    <row r="765" spans="2:15" s="12" customFormat="1">
      <c r="B765" s="146"/>
      <c r="D765" s="142" t="s">
        <v>95</v>
      </c>
      <c r="E765" s="342" t="s">
        <v>2</v>
      </c>
      <c r="F765" s="343" t="s">
        <v>96</v>
      </c>
      <c r="H765" s="149">
        <f>SUM(H764:H764)</f>
        <v>1</v>
      </c>
      <c r="O765" s="1"/>
    </row>
    <row r="766" spans="2:15" s="163" customFormat="1" ht="22.9" customHeight="1">
      <c r="B766" s="254"/>
      <c r="C766" s="135">
        <f>C763+1</f>
        <v>134</v>
      </c>
      <c r="D766" s="258" t="s">
        <v>65</v>
      </c>
      <c r="E766" s="305" t="s">
        <v>1765</v>
      </c>
      <c r="F766" s="306" t="s">
        <v>1750</v>
      </c>
      <c r="G766" s="256" t="s">
        <v>265</v>
      </c>
      <c r="H766" s="347">
        <f>H768</f>
        <v>1</v>
      </c>
      <c r="I766" s="90"/>
      <c r="J766" s="140">
        <f t="shared" ref="J766" si="32">ROUND(I766*H766,2)</f>
        <v>0</v>
      </c>
      <c r="K766" s="137"/>
    </row>
    <row r="767" spans="2:15" s="11" customFormat="1">
      <c r="B767" s="141"/>
      <c r="D767" s="142" t="s">
        <v>95</v>
      </c>
      <c r="F767" s="144" t="s">
        <v>1751</v>
      </c>
      <c r="H767" s="145">
        <f>1</f>
        <v>1</v>
      </c>
      <c r="O767" s="1"/>
    </row>
    <row r="768" spans="2:15" s="12" customFormat="1">
      <c r="B768" s="146"/>
      <c r="D768" s="142" t="s">
        <v>95</v>
      </c>
      <c r="E768" s="342" t="s">
        <v>2</v>
      </c>
      <c r="F768" s="343" t="s">
        <v>96</v>
      </c>
      <c r="H768" s="149">
        <f>SUM(H767:H767)</f>
        <v>1</v>
      </c>
      <c r="O768" s="1"/>
    </row>
    <row r="769" spans="2:15" s="163" customFormat="1" ht="22.9" customHeight="1">
      <c r="B769" s="254"/>
      <c r="C769" s="135">
        <f>C766+1</f>
        <v>135</v>
      </c>
      <c r="D769" s="258" t="s">
        <v>65</v>
      </c>
      <c r="E769" s="305" t="s">
        <v>1766</v>
      </c>
      <c r="F769" s="306" t="s">
        <v>1655</v>
      </c>
      <c r="G769" s="307" t="s">
        <v>265</v>
      </c>
      <c r="H769" s="347">
        <f>H771</f>
        <v>4</v>
      </c>
      <c r="I769" s="90"/>
      <c r="J769" s="140">
        <f t="shared" si="30"/>
        <v>0</v>
      </c>
      <c r="K769" s="137"/>
    </row>
    <row r="770" spans="2:15" s="11" customFormat="1">
      <c r="B770" s="141"/>
      <c r="D770" s="142" t="s">
        <v>95</v>
      </c>
      <c r="F770" s="144" t="s">
        <v>1673</v>
      </c>
      <c r="H770" s="145">
        <f>4</f>
        <v>4</v>
      </c>
      <c r="O770" s="1"/>
    </row>
    <row r="771" spans="2:15" s="12" customFormat="1">
      <c r="B771" s="146"/>
      <c r="D771" s="142" t="s">
        <v>95</v>
      </c>
      <c r="E771" s="342" t="s">
        <v>2</v>
      </c>
      <c r="F771" s="343" t="s">
        <v>96</v>
      </c>
      <c r="H771" s="149">
        <f>SUM(H770:H770)</f>
        <v>4</v>
      </c>
      <c r="O771" s="1"/>
    </row>
    <row r="772" spans="2:15" s="163" customFormat="1" ht="22.9" customHeight="1">
      <c r="B772" s="254"/>
      <c r="C772" s="135">
        <f>C769+1</f>
        <v>136</v>
      </c>
      <c r="D772" s="258" t="s">
        <v>65</v>
      </c>
      <c r="E772" s="305" t="s">
        <v>1767</v>
      </c>
      <c r="F772" s="306" t="s">
        <v>1731</v>
      </c>
      <c r="G772" s="307" t="s">
        <v>115</v>
      </c>
      <c r="H772" s="347">
        <f>H774</f>
        <v>3</v>
      </c>
      <c r="I772" s="90"/>
      <c r="J772" s="140">
        <f t="shared" si="30"/>
        <v>0</v>
      </c>
      <c r="K772" s="137"/>
    </row>
    <row r="773" spans="2:15" s="11" customFormat="1" ht="27">
      <c r="B773" s="141"/>
      <c r="D773" s="142" t="s">
        <v>95</v>
      </c>
      <c r="F773" s="144" t="s">
        <v>1674</v>
      </c>
      <c r="H773" s="145">
        <f>1+1+1</f>
        <v>3</v>
      </c>
      <c r="O773" s="1"/>
    </row>
    <row r="774" spans="2:15" s="12" customFormat="1">
      <c r="B774" s="146"/>
      <c r="D774" s="142" t="s">
        <v>95</v>
      </c>
      <c r="E774" s="342" t="s">
        <v>2</v>
      </c>
      <c r="F774" s="343" t="s">
        <v>96</v>
      </c>
      <c r="H774" s="149">
        <f>SUM(H773:H773)</f>
        <v>3</v>
      </c>
      <c r="O774" s="1"/>
    </row>
    <row r="775" spans="2:15" s="163" customFormat="1" ht="22.9" customHeight="1">
      <c r="B775" s="254"/>
      <c r="C775" s="135">
        <f t="shared" ref="C775" si="33">C772+1</f>
        <v>137</v>
      </c>
      <c r="D775" s="258" t="s">
        <v>65</v>
      </c>
      <c r="E775" s="305" t="s">
        <v>1768</v>
      </c>
      <c r="F775" s="306" t="s">
        <v>1656</v>
      </c>
      <c r="G775" s="307" t="s">
        <v>115</v>
      </c>
      <c r="H775" s="347">
        <f>H777</f>
        <v>3</v>
      </c>
      <c r="I775" s="90"/>
      <c r="J775" s="140">
        <f t="shared" si="30"/>
        <v>0</v>
      </c>
      <c r="K775" s="137"/>
    </row>
    <row r="776" spans="2:15" s="11" customFormat="1" ht="27">
      <c r="B776" s="141"/>
      <c r="D776" s="142" t="s">
        <v>95</v>
      </c>
      <c r="F776" s="144" t="s">
        <v>1674</v>
      </c>
      <c r="H776" s="145">
        <f>1+1+1</f>
        <v>3</v>
      </c>
      <c r="O776" s="1"/>
    </row>
    <row r="777" spans="2:15" s="12" customFormat="1">
      <c r="B777" s="146"/>
      <c r="D777" s="142" t="s">
        <v>95</v>
      </c>
      <c r="E777" s="342" t="s">
        <v>2</v>
      </c>
      <c r="F777" s="343" t="s">
        <v>96</v>
      </c>
      <c r="H777" s="149">
        <f>SUM(H776:H776)</f>
        <v>3</v>
      </c>
      <c r="O777" s="1"/>
    </row>
    <row r="778" spans="2:15" s="163" customFormat="1" ht="22.9" customHeight="1">
      <c r="B778" s="254"/>
      <c r="C778" s="135">
        <f>C775+1</f>
        <v>138</v>
      </c>
      <c r="D778" s="258" t="s">
        <v>65</v>
      </c>
      <c r="E778" s="259" t="s">
        <v>1965</v>
      </c>
      <c r="F778" s="255" t="s">
        <v>1659</v>
      </c>
      <c r="G778" s="256" t="s">
        <v>261</v>
      </c>
      <c r="H778" s="261">
        <f>SUM(J751:J775)</f>
        <v>0</v>
      </c>
      <c r="I778" s="280"/>
      <c r="J778" s="140">
        <f>ROUND(I778*H778%,2)</f>
        <v>0</v>
      </c>
      <c r="K778" s="137"/>
    </row>
    <row r="779" spans="2:15" s="163" customFormat="1" ht="28.15" customHeight="1">
      <c r="B779" s="254"/>
      <c r="C779" s="135">
        <f>C778+1</f>
        <v>139</v>
      </c>
      <c r="D779" s="258" t="s">
        <v>65</v>
      </c>
      <c r="E779" s="305" t="s">
        <v>1769</v>
      </c>
      <c r="F779" s="306" t="s">
        <v>1741</v>
      </c>
      <c r="G779" s="307" t="s">
        <v>265</v>
      </c>
      <c r="H779" s="347">
        <v>1</v>
      </c>
      <c r="I779" s="90"/>
      <c r="J779" s="140">
        <f t="shared" ref="J779" si="34">ROUND(I779*H779,2)</f>
        <v>0</v>
      </c>
      <c r="K779" s="137"/>
    </row>
    <row r="780" spans="2:15" s="11" customFormat="1">
      <c r="B780" s="141"/>
      <c r="D780" s="142" t="s">
        <v>95</v>
      </c>
      <c r="F780" s="144" t="s">
        <v>1739</v>
      </c>
      <c r="H780" s="145">
        <f>1</f>
        <v>1</v>
      </c>
      <c r="O780" s="1"/>
    </row>
    <row r="781" spans="2:15" s="12" customFormat="1">
      <c r="B781" s="146"/>
      <c r="D781" s="142" t="s">
        <v>95</v>
      </c>
      <c r="E781" s="342" t="s">
        <v>2</v>
      </c>
      <c r="F781" s="343" t="s">
        <v>96</v>
      </c>
      <c r="H781" s="149">
        <f>SUM(H780:H780)</f>
        <v>1</v>
      </c>
      <c r="O781" s="1"/>
    </row>
    <row r="782" spans="2:15" s="163" customFormat="1" ht="28.15" customHeight="1">
      <c r="B782" s="254"/>
      <c r="C782" s="135">
        <f>C779+1</f>
        <v>140</v>
      </c>
      <c r="D782" s="258" t="s">
        <v>65</v>
      </c>
      <c r="E782" s="305" t="s">
        <v>1770</v>
      </c>
      <c r="F782" s="306" t="s">
        <v>1740</v>
      </c>
      <c r="G782" s="307" t="s">
        <v>265</v>
      </c>
      <c r="H782" s="347">
        <v>1</v>
      </c>
      <c r="I782" s="90"/>
      <c r="J782" s="140">
        <f t="shared" ref="J782" si="35">ROUND(I782*H782,2)</f>
        <v>0</v>
      </c>
      <c r="K782" s="137"/>
    </row>
    <row r="783" spans="2:15" s="11" customFormat="1">
      <c r="B783" s="141"/>
      <c r="D783" s="142" t="s">
        <v>95</v>
      </c>
      <c r="F783" s="144" t="s">
        <v>1739</v>
      </c>
      <c r="H783" s="145">
        <f>1</f>
        <v>1</v>
      </c>
      <c r="O783" s="1"/>
    </row>
    <row r="784" spans="2:15" s="12" customFormat="1">
      <c r="B784" s="146"/>
      <c r="D784" s="142" t="s">
        <v>95</v>
      </c>
      <c r="E784" s="342" t="s">
        <v>2</v>
      </c>
      <c r="F784" s="343" t="s">
        <v>96</v>
      </c>
      <c r="H784" s="149">
        <f>SUM(H783:H783)</f>
        <v>1</v>
      </c>
      <c r="O784" s="1"/>
    </row>
    <row r="785" spans="2:15" s="163" customFormat="1" ht="28.15" customHeight="1">
      <c r="B785" s="254"/>
      <c r="C785" s="135">
        <f>C782+1</f>
        <v>141</v>
      </c>
      <c r="D785" s="258" t="s">
        <v>65</v>
      </c>
      <c r="E785" s="305" t="s">
        <v>1771</v>
      </c>
      <c r="F785" s="306" t="s">
        <v>1742</v>
      </c>
      <c r="G785" s="307" t="s">
        <v>265</v>
      </c>
      <c r="H785" s="347">
        <v>1</v>
      </c>
      <c r="I785" s="90"/>
      <c r="J785" s="140">
        <f t="shared" ref="J785" si="36">ROUND(I785*H785,2)</f>
        <v>0</v>
      </c>
      <c r="K785" s="137"/>
    </row>
    <row r="786" spans="2:15" s="11" customFormat="1">
      <c r="B786" s="141"/>
      <c r="D786" s="142" t="s">
        <v>95</v>
      </c>
      <c r="F786" s="144" t="s">
        <v>1743</v>
      </c>
      <c r="H786" s="145">
        <f>1</f>
        <v>1</v>
      </c>
      <c r="O786" s="1"/>
    </row>
    <row r="787" spans="2:15" s="12" customFormat="1">
      <c r="B787" s="146"/>
      <c r="D787" s="142" t="s">
        <v>95</v>
      </c>
      <c r="E787" s="342" t="s">
        <v>2</v>
      </c>
      <c r="F787" s="343" t="s">
        <v>96</v>
      </c>
      <c r="H787" s="149">
        <f>SUM(H786:H786)</f>
        <v>1</v>
      </c>
      <c r="O787" s="1"/>
    </row>
    <row r="788" spans="2:15" s="163" customFormat="1" ht="28.15" customHeight="1">
      <c r="B788" s="254"/>
      <c r="C788" s="135">
        <f>C785+1</f>
        <v>142</v>
      </c>
      <c r="D788" s="258" t="s">
        <v>65</v>
      </c>
      <c r="E788" s="305" t="s">
        <v>1925</v>
      </c>
      <c r="F788" s="306" t="s">
        <v>1926</v>
      </c>
      <c r="G788" s="307" t="s">
        <v>265</v>
      </c>
      <c r="H788" s="347">
        <v>1</v>
      </c>
      <c r="I788" s="90"/>
      <c r="J788" s="140">
        <f t="shared" ref="J788" si="37">ROUND(I788*H788,2)</f>
        <v>0</v>
      </c>
      <c r="K788" s="137"/>
    </row>
    <row r="789" spans="2:15" s="11" customFormat="1">
      <c r="B789" s="141"/>
      <c r="D789" s="142" t="s">
        <v>95</v>
      </c>
      <c r="F789" s="144" t="s">
        <v>1924</v>
      </c>
      <c r="H789" s="145">
        <f>1</f>
        <v>1</v>
      </c>
      <c r="O789" s="1"/>
    </row>
    <row r="790" spans="2:15" s="12" customFormat="1">
      <c r="B790" s="146"/>
      <c r="D790" s="142" t="s">
        <v>95</v>
      </c>
      <c r="E790" s="342" t="s">
        <v>2</v>
      </c>
      <c r="F790" s="343" t="s">
        <v>96</v>
      </c>
      <c r="H790" s="149">
        <f>SUM(H789:H789)</f>
        <v>1</v>
      </c>
      <c r="O790" s="1"/>
    </row>
    <row r="791" spans="2:15" s="163" customFormat="1" ht="28.15" customHeight="1">
      <c r="B791" s="254"/>
      <c r="C791" s="135">
        <f>C788+1</f>
        <v>143</v>
      </c>
      <c r="D791" s="258" t="s">
        <v>65</v>
      </c>
      <c r="E791" s="305" t="s">
        <v>1772</v>
      </c>
      <c r="F791" s="306" t="s">
        <v>1744</v>
      </c>
      <c r="G791" s="307" t="s">
        <v>265</v>
      </c>
      <c r="H791" s="347">
        <v>1</v>
      </c>
      <c r="I791" s="90"/>
      <c r="J791" s="140">
        <f t="shared" ref="J791" si="38">ROUND(I791*H791,2)</f>
        <v>0</v>
      </c>
      <c r="K791" s="137"/>
    </row>
    <row r="792" spans="2:15" s="11" customFormat="1">
      <c r="B792" s="141"/>
      <c r="D792" s="142" t="s">
        <v>95</v>
      </c>
      <c r="F792" s="144" t="s">
        <v>1739</v>
      </c>
      <c r="H792" s="145">
        <f>1</f>
        <v>1</v>
      </c>
      <c r="O792" s="1"/>
    </row>
    <row r="793" spans="2:15" s="12" customFormat="1">
      <c r="B793" s="146"/>
      <c r="D793" s="142" t="s">
        <v>95</v>
      </c>
      <c r="E793" s="342" t="s">
        <v>2</v>
      </c>
      <c r="F793" s="343" t="s">
        <v>96</v>
      </c>
      <c r="H793" s="149">
        <f>SUM(H792:H792)</f>
        <v>1</v>
      </c>
      <c r="O793" s="1"/>
    </row>
    <row r="794" spans="2:15" s="163" customFormat="1" ht="22.9" customHeight="1">
      <c r="B794" s="254"/>
      <c r="C794" s="135">
        <f>C791+1</f>
        <v>144</v>
      </c>
      <c r="D794" s="258" t="s">
        <v>65</v>
      </c>
      <c r="E794" s="259" t="s">
        <v>1965</v>
      </c>
      <c r="F794" s="255" t="s">
        <v>1955</v>
      </c>
      <c r="G794" s="256" t="s">
        <v>261</v>
      </c>
      <c r="H794" s="261">
        <f>SUM(J779:J793)</f>
        <v>0</v>
      </c>
      <c r="I794" s="280"/>
      <c r="J794" s="140">
        <f>ROUND(I794*H794%,2)</f>
        <v>0</v>
      </c>
      <c r="K794" s="137"/>
    </row>
    <row r="795" spans="2:15" s="163" customFormat="1" ht="22.9" customHeight="1">
      <c r="B795" s="254"/>
      <c r="C795" s="135">
        <f>C794+1</f>
        <v>145</v>
      </c>
      <c r="D795" s="258" t="s">
        <v>65</v>
      </c>
      <c r="E795" s="136" t="s">
        <v>1966</v>
      </c>
      <c r="F795" s="255" t="s">
        <v>1658</v>
      </c>
      <c r="G795" s="256" t="s">
        <v>261</v>
      </c>
      <c r="H795" s="261">
        <f>SUM(J751:J794)</f>
        <v>0</v>
      </c>
      <c r="I795" s="280"/>
      <c r="J795" s="140">
        <f>ROUND(I795*H795%,2)</f>
        <v>0</v>
      </c>
      <c r="K795" s="137"/>
    </row>
    <row r="796" spans="2:15" s="164" customFormat="1" ht="22.9" customHeight="1">
      <c r="B796" s="246"/>
      <c r="C796" s="247"/>
      <c r="D796" s="248"/>
      <c r="E796" s="248" t="s">
        <v>664</v>
      </c>
      <c r="F796" s="260" t="s">
        <v>660</v>
      </c>
      <c r="G796" s="250"/>
      <c r="H796" s="251"/>
      <c r="I796" s="252"/>
      <c r="J796" s="253"/>
    </row>
    <row r="797" spans="2:15" s="163" customFormat="1" ht="22.9" customHeight="1">
      <c r="B797" s="254"/>
      <c r="C797" s="135">
        <f>C795+1</f>
        <v>146</v>
      </c>
      <c r="D797" s="258" t="s">
        <v>65</v>
      </c>
      <c r="E797" s="259" t="s">
        <v>1964</v>
      </c>
      <c r="F797" s="255" t="s">
        <v>1746</v>
      </c>
      <c r="G797" s="256" t="s">
        <v>155</v>
      </c>
      <c r="H797" s="257">
        <f>H801</f>
        <v>10.353999999999999</v>
      </c>
      <c r="I797" s="90"/>
      <c r="J797" s="140">
        <f t="shared" ref="J797" si="39">ROUND(I797*H797,2)</f>
        <v>0</v>
      </c>
      <c r="K797" s="137"/>
    </row>
    <row r="798" spans="2:15" s="11" customFormat="1" ht="27">
      <c r="B798" s="141"/>
      <c r="D798" s="142" t="s">
        <v>95</v>
      </c>
      <c r="F798" s="144" t="s">
        <v>1747</v>
      </c>
      <c r="H798" s="145">
        <f>(1.809+1.72+0.665+1.4)</f>
        <v>5.5939999999999994</v>
      </c>
      <c r="O798" s="1"/>
    </row>
    <row r="799" spans="2:15" s="11" customFormat="1">
      <c r="B799" s="141"/>
      <c r="D799" s="142" t="s">
        <v>95</v>
      </c>
      <c r="F799" s="144" t="s">
        <v>1749</v>
      </c>
      <c r="H799" s="145">
        <f>(2+1.76)</f>
        <v>3.76</v>
      </c>
      <c r="O799" s="1"/>
    </row>
    <row r="800" spans="2:15" s="11" customFormat="1">
      <c r="B800" s="141"/>
      <c r="D800" s="142" t="s">
        <v>95</v>
      </c>
      <c r="F800" s="144" t="s">
        <v>1752</v>
      </c>
      <c r="H800" s="145">
        <f>1</f>
        <v>1</v>
      </c>
      <c r="O800" s="1"/>
    </row>
    <row r="801" spans="2:15" s="12" customFormat="1">
      <c r="B801" s="146"/>
      <c r="D801" s="142" t="s">
        <v>95</v>
      </c>
      <c r="E801" s="342" t="s">
        <v>2</v>
      </c>
      <c r="F801" s="343" t="s">
        <v>96</v>
      </c>
      <c r="H801" s="149">
        <f>SUM(H798:H800)</f>
        <v>10.353999999999999</v>
      </c>
      <c r="O801" s="1"/>
    </row>
    <row r="802" spans="2:15" s="163" customFormat="1" ht="22.9" customHeight="1">
      <c r="B802" s="254"/>
      <c r="C802" s="135">
        <f>C797+1</f>
        <v>147</v>
      </c>
      <c r="D802" s="258" t="s">
        <v>65</v>
      </c>
      <c r="E802" s="259" t="s">
        <v>1963</v>
      </c>
      <c r="F802" s="255" t="s">
        <v>1753</v>
      </c>
      <c r="G802" s="256" t="s">
        <v>265</v>
      </c>
      <c r="H802" s="257">
        <f>H804</f>
        <v>1</v>
      </c>
      <c r="I802" s="90"/>
      <c r="J802" s="140">
        <f t="shared" ref="J802" si="40">ROUND(I802*H802,2)</f>
        <v>0</v>
      </c>
      <c r="K802" s="137"/>
    </row>
    <row r="803" spans="2:15" s="11" customFormat="1">
      <c r="B803" s="141"/>
      <c r="D803" s="142" t="s">
        <v>95</v>
      </c>
      <c r="F803" s="144" t="s">
        <v>1752</v>
      </c>
      <c r="H803" s="145">
        <f>1</f>
        <v>1</v>
      </c>
      <c r="O803" s="1"/>
    </row>
    <row r="804" spans="2:15" s="12" customFormat="1">
      <c r="B804" s="146"/>
      <c r="D804" s="142" t="s">
        <v>95</v>
      </c>
      <c r="E804" s="342" t="s">
        <v>2</v>
      </c>
      <c r="F804" s="343" t="s">
        <v>96</v>
      </c>
      <c r="H804" s="149">
        <f>SUM(H803:H803)</f>
        <v>1</v>
      </c>
      <c r="O804" s="1"/>
    </row>
    <row r="805" spans="2:15" s="163" customFormat="1" ht="22.9" customHeight="1">
      <c r="B805" s="254"/>
      <c r="C805" s="135">
        <f>C802+1</f>
        <v>148</v>
      </c>
      <c r="D805" s="258" t="s">
        <v>65</v>
      </c>
      <c r="E805" s="259" t="s">
        <v>1962</v>
      </c>
      <c r="F805" s="255" t="s">
        <v>1659</v>
      </c>
      <c r="G805" s="256" t="s">
        <v>261</v>
      </c>
      <c r="H805" s="261">
        <f>SUM(J797:J802)</f>
        <v>0</v>
      </c>
      <c r="I805" s="280"/>
      <c r="J805" s="140">
        <f>ROUND(I805*H805%,2)</f>
        <v>0</v>
      </c>
      <c r="K805" s="137"/>
    </row>
    <row r="806" spans="2:15" s="163" customFormat="1" ht="22.9" customHeight="1">
      <c r="B806" s="254"/>
      <c r="C806" s="135">
        <f>C805+1</f>
        <v>149</v>
      </c>
      <c r="D806" s="258" t="s">
        <v>65</v>
      </c>
      <c r="E806" s="259" t="s">
        <v>1961</v>
      </c>
      <c r="F806" s="255" t="s">
        <v>574</v>
      </c>
      <c r="G806" s="256" t="s">
        <v>155</v>
      </c>
      <c r="H806" s="257">
        <f>H808</f>
        <v>10.593999999999999</v>
      </c>
      <c r="I806" s="90"/>
      <c r="J806" s="140">
        <f t="shared" si="30"/>
        <v>0</v>
      </c>
      <c r="K806" s="137"/>
    </row>
    <row r="807" spans="2:15" s="11" customFormat="1" ht="27">
      <c r="B807" s="141"/>
      <c r="D807" s="142" t="s">
        <v>95</v>
      </c>
      <c r="F807" s="144" t="s">
        <v>1745</v>
      </c>
      <c r="H807" s="145">
        <f>(1.809+2.5+1.72+2.5+0.665+1.4)</f>
        <v>10.593999999999999</v>
      </c>
      <c r="O807" s="1"/>
    </row>
    <row r="808" spans="2:15" s="12" customFormat="1">
      <c r="B808" s="146"/>
      <c r="D808" s="142" t="s">
        <v>95</v>
      </c>
      <c r="E808" s="342" t="s">
        <v>2</v>
      </c>
      <c r="F808" s="343" t="s">
        <v>96</v>
      </c>
      <c r="H808" s="149">
        <f>SUM(H807:H807)</f>
        <v>10.593999999999999</v>
      </c>
      <c r="O808" s="1"/>
    </row>
    <row r="809" spans="2:15" s="163" customFormat="1" ht="22.9" customHeight="1">
      <c r="B809" s="254"/>
      <c r="C809" s="135">
        <f>C806+1</f>
        <v>150</v>
      </c>
      <c r="D809" s="258" t="s">
        <v>65</v>
      </c>
      <c r="E809" s="259" t="s">
        <v>1959</v>
      </c>
      <c r="F809" s="255" t="s">
        <v>572</v>
      </c>
      <c r="G809" s="256" t="s">
        <v>265</v>
      </c>
      <c r="H809" s="257">
        <f>H811</f>
        <v>4</v>
      </c>
      <c r="I809" s="90"/>
      <c r="J809" s="140">
        <f t="shared" si="30"/>
        <v>0</v>
      </c>
      <c r="K809" s="137"/>
    </row>
    <row r="810" spans="2:15" s="11" customFormat="1" ht="27">
      <c r="B810" s="141"/>
      <c r="D810" s="142" t="s">
        <v>95</v>
      </c>
      <c r="F810" s="144" t="s">
        <v>1748</v>
      </c>
      <c r="H810" s="145">
        <f>4</f>
        <v>4</v>
      </c>
      <c r="O810" s="1"/>
    </row>
    <row r="811" spans="2:15" s="12" customFormat="1">
      <c r="B811" s="146"/>
      <c r="D811" s="142" t="s">
        <v>95</v>
      </c>
      <c r="E811" s="342" t="s">
        <v>2</v>
      </c>
      <c r="F811" s="343" t="s">
        <v>96</v>
      </c>
      <c r="H811" s="149">
        <f>SUM(H810:H810)</f>
        <v>4</v>
      </c>
      <c r="O811" s="1"/>
    </row>
    <row r="812" spans="2:15" s="163" customFormat="1" ht="22.9" customHeight="1">
      <c r="B812" s="254"/>
      <c r="C812" s="135">
        <f>C809+1</f>
        <v>151</v>
      </c>
      <c r="D812" s="258" t="s">
        <v>65</v>
      </c>
      <c r="E812" s="259" t="s">
        <v>1958</v>
      </c>
      <c r="F812" s="255" t="s">
        <v>575</v>
      </c>
      <c r="G812" s="256" t="s">
        <v>155</v>
      </c>
      <c r="H812" s="257">
        <f>H814</f>
        <v>10.593999999999999</v>
      </c>
      <c r="I812" s="90"/>
      <c r="J812" s="140">
        <f t="shared" si="30"/>
        <v>0</v>
      </c>
      <c r="K812" s="137"/>
    </row>
    <row r="813" spans="2:15" s="11" customFormat="1" ht="27">
      <c r="B813" s="141"/>
      <c r="D813" s="142" t="s">
        <v>95</v>
      </c>
      <c r="F813" s="144" t="s">
        <v>1745</v>
      </c>
      <c r="H813" s="145">
        <f>(1.809+2.5+1.72+2.5+0.665+1.4)</f>
        <v>10.593999999999999</v>
      </c>
      <c r="O813" s="1"/>
    </row>
    <row r="814" spans="2:15" s="12" customFormat="1">
      <c r="B814" s="146"/>
      <c r="D814" s="142" t="s">
        <v>95</v>
      </c>
      <c r="E814" s="342" t="s">
        <v>2</v>
      </c>
      <c r="F814" s="343" t="s">
        <v>96</v>
      </c>
      <c r="H814" s="149">
        <f>SUM(H813:H813)</f>
        <v>10.593999999999999</v>
      </c>
      <c r="O814" s="1"/>
    </row>
    <row r="815" spans="2:15" s="163" customFormat="1" ht="22.9" customHeight="1">
      <c r="B815" s="254"/>
      <c r="C815" s="135">
        <f>C812+1</f>
        <v>152</v>
      </c>
      <c r="D815" s="258" t="s">
        <v>65</v>
      </c>
      <c r="E815" s="259" t="s">
        <v>1957</v>
      </c>
      <c r="F815" s="255" t="s">
        <v>2003</v>
      </c>
      <c r="G815" s="256" t="s">
        <v>155</v>
      </c>
      <c r="H815" s="257">
        <f>H817</f>
        <v>10.593999999999999</v>
      </c>
      <c r="I815" s="90"/>
      <c r="J815" s="140">
        <f t="shared" si="30"/>
        <v>0</v>
      </c>
      <c r="K815" s="137"/>
    </row>
    <row r="816" spans="2:15" s="11" customFormat="1" ht="27">
      <c r="B816" s="141"/>
      <c r="D816" s="142" t="s">
        <v>95</v>
      </c>
      <c r="F816" s="144" t="s">
        <v>1745</v>
      </c>
      <c r="H816" s="145">
        <f>(1.809+2.5+1.72+2.5+0.665+1.4)</f>
        <v>10.593999999999999</v>
      </c>
      <c r="O816" s="1"/>
    </row>
    <row r="817" spans="2:15" s="12" customFormat="1">
      <c r="B817" s="146"/>
      <c r="D817" s="142" t="s">
        <v>95</v>
      </c>
      <c r="E817" s="342" t="s">
        <v>2</v>
      </c>
      <c r="F817" s="343" t="s">
        <v>96</v>
      </c>
      <c r="H817" s="149">
        <f>SUM(H816:H816)</f>
        <v>10.593999999999999</v>
      </c>
      <c r="O817" s="1"/>
    </row>
    <row r="818" spans="2:15" s="163" customFormat="1" ht="27">
      <c r="B818" s="254"/>
      <c r="C818" s="135">
        <f>C815+1</f>
        <v>153</v>
      </c>
      <c r="D818" s="258" t="s">
        <v>65</v>
      </c>
      <c r="E818" s="259" t="s">
        <v>1956</v>
      </c>
      <c r="F818" s="255" t="s">
        <v>1960</v>
      </c>
      <c r="G818" s="256" t="s">
        <v>261</v>
      </c>
      <c r="H818" s="261">
        <f>SUM(J797:J817)</f>
        <v>0</v>
      </c>
      <c r="I818" s="280"/>
      <c r="J818" s="140">
        <f>ROUND(I818*H818%,2)</f>
        <v>0</v>
      </c>
      <c r="K818" s="137"/>
    </row>
    <row r="819" spans="2:15" s="163" customFormat="1" ht="22.9" customHeight="1">
      <c r="B819" s="254"/>
      <c r="C819" s="135">
        <f t="shared" ref="C819" si="41">C818+1</f>
        <v>154</v>
      </c>
      <c r="D819" s="258" t="s">
        <v>65</v>
      </c>
      <c r="E819" s="259" t="s">
        <v>1948</v>
      </c>
      <c r="F819" s="255" t="s">
        <v>1778</v>
      </c>
      <c r="G819" s="256" t="s">
        <v>261</v>
      </c>
      <c r="H819" s="261">
        <f>SUM(J797:J818)</f>
        <v>0</v>
      </c>
      <c r="I819" s="280"/>
      <c r="J819" s="140">
        <f>ROUND(I819*H819%,2)</f>
        <v>0</v>
      </c>
      <c r="K819" s="137"/>
    </row>
    <row r="820" spans="2:15" s="10" customFormat="1" ht="29.85" customHeight="1">
      <c r="B820" s="128"/>
      <c r="D820" s="129" t="s">
        <v>39</v>
      </c>
      <c r="E820" s="133" t="s">
        <v>214</v>
      </c>
      <c r="F820" s="133" t="s">
        <v>671</v>
      </c>
      <c r="J820" s="134">
        <f>SUM(J821:J902)</f>
        <v>0</v>
      </c>
    </row>
    <row r="821" spans="2:15" s="1" customFormat="1" ht="22.9" customHeight="1">
      <c r="B821" s="39"/>
      <c r="C821" s="135">
        <f>C819+1</f>
        <v>155</v>
      </c>
      <c r="D821" s="135" t="s">
        <v>643</v>
      </c>
      <c r="E821" s="136" t="s">
        <v>1940</v>
      </c>
      <c r="F821" s="137" t="s">
        <v>781</v>
      </c>
      <c r="G821" s="138" t="s">
        <v>66</v>
      </c>
      <c r="H821" s="139">
        <f>H823</f>
        <v>1</v>
      </c>
      <c r="I821" s="90"/>
      <c r="J821" s="140">
        <f>ROUND(I821*H821,2)</f>
        <v>0</v>
      </c>
      <c r="K821" s="137"/>
    </row>
    <row r="822" spans="2:15" s="11" customFormat="1">
      <c r="B822" s="141"/>
      <c r="D822" s="142" t="s">
        <v>95</v>
      </c>
      <c r="F822" s="144" t="s">
        <v>1134</v>
      </c>
      <c r="H822" s="145">
        <f>1</f>
        <v>1</v>
      </c>
      <c r="O822" s="1"/>
    </row>
    <row r="823" spans="2:15" s="12" customFormat="1">
      <c r="B823" s="146"/>
      <c r="D823" s="142" t="s">
        <v>95</v>
      </c>
      <c r="E823" s="147" t="s">
        <v>2</v>
      </c>
      <c r="F823" s="148" t="s">
        <v>96</v>
      </c>
      <c r="H823" s="149">
        <f>SUM(H822:H822)</f>
        <v>1</v>
      </c>
      <c r="O823" s="1"/>
    </row>
    <row r="824" spans="2:15" s="1" customFormat="1" ht="22.9" customHeight="1">
      <c r="B824" s="39"/>
      <c r="C824" s="135">
        <f>C821+1</f>
        <v>156</v>
      </c>
      <c r="D824" s="135" t="s">
        <v>643</v>
      </c>
      <c r="E824" s="136" t="s">
        <v>1941</v>
      </c>
      <c r="F824" s="137" t="s">
        <v>2002</v>
      </c>
      <c r="G824" s="138" t="s">
        <v>181</v>
      </c>
      <c r="H824" s="139">
        <f>H826</f>
        <v>1</v>
      </c>
      <c r="I824" s="90"/>
      <c r="J824" s="140">
        <f>ROUND(I824*H824,2)</f>
        <v>0</v>
      </c>
      <c r="K824" s="137"/>
    </row>
    <row r="825" spans="2:15" s="11" customFormat="1">
      <c r="B825" s="141"/>
      <c r="D825" s="142" t="s">
        <v>95</v>
      </c>
      <c r="F825" s="144" t="s">
        <v>1134</v>
      </c>
      <c r="H825" s="145">
        <f>1</f>
        <v>1</v>
      </c>
      <c r="O825" s="1"/>
    </row>
    <row r="826" spans="2:15" s="12" customFormat="1">
      <c r="B826" s="146"/>
      <c r="D826" s="142" t="s">
        <v>95</v>
      </c>
      <c r="E826" s="147" t="s">
        <v>2</v>
      </c>
      <c r="F826" s="148" t="s">
        <v>96</v>
      </c>
      <c r="H826" s="149">
        <f>SUM(H825:H825)</f>
        <v>1</v>
      </c>
      <c r="O826" s="1"/>
    </row>
    <row r="827" spans="2:15" s="1" customFormat="1" ht="28.9" customHeight="1">
      <c r="B827" s="39"/>
      <c r="C827" s="135">
        <f>C824+1</f>
        <v>157</v>
      </c>
      <c r="D827" s="135" t="s">
        <v>643</v>
      </c>
      <c r="E827" s="136" t="s">
        <v>1951</v>
      </c>
      <c r="F827" s="137" t="s">
        <v>1942</v>
      </c>
      <c r="G827" s="138" t="s">
        <v>66</v>
      </c>
      <c r="H827" s="139">
        <f>H829</f>
        <v>1</v>
      </c>
      <c r="I827" s="90"/>
      <c r="J827" s="140">
        <f>ROUND(I827*H827,2)</f>
        <v>0</v>
      </c>
      <c r="K827" s="263"/>
    </row>
    <row r="828" spans="2:15" s="11" customFormat="1">
      <c r="B828" s="141"/>
      <c r="D828" s="142" t="s">
        <v>95</v>
      </c>
      <c r="F828" s="144" t="s">
        <v>1134</v>
      </c>
      <c r="H828" s="145">
        <f>1</f>
        <v>1</v>
      </c>
      <c r="O828" s="1"/>
    </row>
    <row r="829" spans="2:15" s="12" customFormat="1">
      <c r="B829" s="146"/>
      <c r="D829" s="142" t="s">
        <v>95</v>
      </c>
      <c r="E829" s="147" t="s">
        <v>2</v>
      </c>
      <c r="F829" s="148" t="s">
        <v>96</v>
      </c>
      <c r="H829" s="149">
        <f>SUM(H828:H828)</f>
        <v>1</v>
      </c>
      <c r="O829" s="1"/>
    </row>
    <row r="830" spans="2:15" s="166" customFormat="1" ht="22.15" customHeight="1">
      <c r="C830" s="10"/>
      <c r="D830" s="264"/>
      <c r="E830" s="133">
        <v>731</v>
      </c>
      <c r="F830" s="133" t="s">
        <v>672</v>
      </c>
      <c r="G830" s="265"/>
      <c r="H830" s="265"/>
      <c r="I830" s="265"/>
      <c r="J830" s="134"/>
      <c r="K830" s="265"/>
    </row>
    <row r="831" spans="2:15" s="163" customFormat="1" ht="22.15" customHeight="1">
      <c r="C831" s="135">
        <f>C827+1</f>
        <v>158</v>
      </c>
      <c r="D831" s="135" t="s">
        <v>65</v>
      </c>
      <c r="E831" s="266">
        <v>731244823</v>
      </c>
      <c r="F831" s="267" t="s">
        <v>1654</v>
      </c>
      <c r="G831" s="268" t="s">
        <v>265</v>
      </c>
      <c r="H831" s="269">
        <f>H833</f>
        <v>1</v>
      </c>
      <c r="I831" s="281"/>
      <c r="J831" s="140">
        <f t="shared" ref="J831" si="42">ROUND(I831*H831,2)</f>
        <v>0</v>
      </c>
      <c r="K831" s="137"/>
    </row>
    <row r="832" spans="2:15" s="11" customFormat="1">
      <c r="B832" s="141"/>
      <c r="D832" s="142" t="s">
        <v>95</v>
      </c>
      <c r="F832" s="144" t="s">
        <v>1787</v>
      </c>
      <c r="H832" s="145">
        <f>(1)</f>
        <v>1</v>
      </c>
      <c r="O832" s="1"/>
    </row>
    <row r="833" spans="2:15" s="12" customFormat="1">
      <c r="B833" s="146"/>
      <c r="D833" s="142" t="s">
        <v>95</v>
      </c>
      <c r="E833" s="147" t="s">
        <v>2</v>
      </c>
      <c r="F833" s="148" t="s">
        <v>96</v>
      </c>
      <c r="H833" s="149">
        <f>SUM(H832:H832)</f>
        <v>1</v>
      </c>
      <c r="O833" s="1"/>
    </row>
    <row r="834" spans="2:15" s="163" customFormat="1" ht="22.9" customHeight="1">
      <c r="B834" s="254"/>
      <c r="C834" s="135">
        <f>C831+1</f>
        <v>159</v>
      </c>
      <c r="D834" s="258" t="s">
        <v>65</v>
      </c>
      <c r="E834" s="259" t="s">
        <v>1943</v>
      </c>
      <c r="F834" s="255" t="s">
        <v>1659</v>
      </c>
      <c r="G834" s="256" t="s">
        <v>261</v>
      </c>
      <c r="H834" s="261">
        <f>SUM(J831:J831)</f>
        <v>0</v>
      </c>
      <c r="I834" s="280"/>
      <c r="J834" s="140">
        <f>ROUND(I834*H834%,2)</f>
        <v>0</v>
      </c>
      <c r="K834" s="137"/>
    </row>
    <row r="835" spans="2:15" s="163" customFormat="1" ht="22.15" customHeight="1">
      <c r="C835" s="135">
        <f>C834+1</f>
        <v>160</v>
      </c>
      <c r="D835" s="135" t="s">
        <v>65</v>
      </c>
      <c r="E835" s="259" t="s">
        <v>1954</v>
      </c>
      <c r="F835" s="267" t="s">
        <v>1777</v>
      </c>
      <c r="G835" s="271" t="s">
        <v>261</v>
      </c>
      <c r="H835" s="261">
        <f>SUM(J831:J834)</f>
        <v>0</v>
      </c>
      <c r="I835" s="280"/>
      <c r="J835" s="140">
        <f>ROUND(I835*H835%,2)</f>
        <v>0</v>
      </c>
      <c r="K835" s="137"/>
    </row>
    <row r="836" spans="2:15" s="166" customFormat="1" ht="22.15" customHeight="1">
      <c r="C836" s="10"/>
      <c r="D836" s="264"/>
      <c r="E836" s="133">
        <v>733</v>
      </c>
      <c r="F836" s="133" t="s">
        <v>673</v>
      </c>
      <c r="G836" s="265"/>
      <c r="H836" s="265"/>
      <c r="I836" s="265"/>
      <c r="J836" s="134"/>
      <c r="K836" s="265"/>
    </row>
    <row r="837" spans="2:15" s="163" customFormat="1" ht="22.15" customHeight="1">
      <c r="C837" s="135">
        <f>C835+1</f>
        <v>161</v>
      </c>
      <c r="D837" s="135" t="s">
        <v>65</v>
      </c>
      <c r="E837" s="266">
        <v>733222102</v>
      </c>
      <c r="F837" s="267" t="s">
        <v>668</v>
      </c>
      <c r="G837" s="268" t="s">
        <v>155</v>
      </c>
      <c r="H837" s="269">
        <v>205</v>
      </c>
      <c r="I837" s="281"/>
      <c r="J837" s="140">
        <f t="shared" ref="J837:J843" si="43">ROUND(I837*H837,2)</f>
        <v>0</v>
      </c>
      <c r="K837" s="137"/>
    </row>
    <row r="838" spans="2:15" s="163" customFormat="1" ht="28.15" customHeight="1">
      <c r="B838" s="254"/>
      <c r="C838" s="135">
        <f t="shared" ref="C838" si="44">C837+1</f>
        <v>162</v>
      </c>
      <c r="D838" s="258" t="s">
        <v>65</v>
      </c>
      <c r="E838" s="305" t="s">
        <v>1786</v>
      </c>
      <c r="F838" s="306" t="s">
        <v>1663</v>
      </c>
      <c r="G838" s="307" t="s">
        <v>155</v>
      </c>
      <c r="H838" s="347">
        <f>H841</f>
        <v>58.139999999999993</v>
      </c>
      <c r="I838" s="90"/>
      <c r="J838" s="140">
        <f t="shared" si="43"/>
        <v>0</v>
      </c>
      <c r="K838" s="137"/>
    </row>
    <row r="839" spans="2:15" s="11" customFormat="1">
      <c r="B839" s="141"/>
      <c r="D839" s="142" t="s">
        <v>95</v>
      </c>
      <c r="F839" s="144" t="s">
        <v>1788</v>
      </c>
      <c r="H839" s="145">
        <f>(0.157+1.386+0.172+0.196+0.139)*2</f>
        <v>4.0999999999999996</v>
      </c>
      <c r="O839" s="1"/>
    </row>
    <row r="840" spans="2:15" s="11" customFormat="1" ht="27">
      <c r="B840" s="141"/>
      <c r="D840" s="142" t="s">
        <v>95</v>
      </c>
      <c r="F840" s="144" t="s">
        <v>1789</v>
      </c>
      <c r="H840" s="145">
        <f>(0.61+9.775+9.86+6.325+0.09*5)*2</f>
        <v>54.039999999999992</v>
      </c>
      <c r="O840" s="1"/>
    </row>
    <row r="841" spans="2:15" s="12" customFormat="1">
      <c r="B841" s="146"/>
      <c r="D841" s="142" t="s">
        <v>95</v>
      </c>
      <c r="E841" s="342" t="s">
        <v>2</v>
      </c>
      <c r="F841" s="343" t="s">
        <v>96</v>
      </c>
      <c r="H841" s="149">
        <f>SUM(H839:H840)</f>
        <v>58.139999999999993</v>
      </c>
      <c r="O841" s="1"/>
    </row>
    <row r="842" spans="2:15" s="163" customFormat="1" ht="22.9" customHeight="1">
      <c r="B842" s="254"/>
      <c r="C842" s="135">
        <f>C838+1</f>
        <v>163</v>
      </c>
      <c r="D842" s="258" t="s">
        <v>65</v>
      </c>
      <c r="E842" s="259" t="s">
        <v>1944</v>
      </c>
      <c r="F842" s="255" t="s">
        <v>1659</v>
      </c>
      <c r="G842" s="256" t="s">
        <v>261</v>
      </c>
      <c r="H842" s="261">
        <f>SUM(J837:J841)</f>
        <v>0</v>
      </c>
      <c r="I842" s="280"/>
      <c r="J842" s="140">
        <f>ROUND(I842*H842%,2)</f>
        <v>0</v>
      </c>
      <c r="K842" s="137"/>
    </row>
    <row r="843" spans="2:15" s="163" customFormat="1" ht="22.15" customHeight="1">
      <c r="C843" s="135">
        <f t="shared" ref="C843" si="45">C842+1</f>
        <v>164</v>
      </c>
      <c r="D843" s="135" t="s">
        <v>65</v>
      </c>
      <c r="E843" s="266">
        <v>733222105</v>
      </c>
      <c r="F843" s="267" t="s">
        <v>667</v>
      </c>
      <c r="G843" s="268" t="s">
        <v>155</v>
      </c>
      <c r="H843" s="269">
        <f>H846</f>
        <v>70.671999999999983</v>
      </c>
      <c r="I843" s="281"/>
      <c r="J843" s="140">
        <f t="shared" si="43"/>
        <v>0</v>
      </c>
      <c r="K843" s="137"/>
    </row>
    <row r="844" spans="2:15" s="11" customFormat="1" ht="27">
      <c r="B844" s="141"/>
      <c r="D844" s="142" t="s">
        <v>95</v>
      </c>
      <c r="F844" s="144" t="s">
        <v>1779</v>
      </c>
      <c r="H844" s="145">
        <f>(2.5+0.157+1.386+0.172+0.196+2.5+0.139)*2</f>
        <v>14.1</v>
      </c>
      <c r="O844" s="1"/>
    </row>
    <row r="845" spans="2:15" s="11" customFormat="1" ht="27">
      <c r="B845" s="141"/>
      <c r="D845" s="142" t="s">
        <v>95</v>
      </c>
      <c r="F845" s="144" t="s">
        <v>1782</v>
      </c>
      <c r="H845" s="145">
        <f>(0.61+9.775+9.86+6.325+0.246+0.25*3+0.09*8)*2</f>
        <v>56.571999999999989</v>
      </c>
      <c r="O845" s="1"/>
    </row>
    <row r="846" spans="2:15" s="12" customFormat="1">
      <c r="B846" s="146"/>
      <c r="D846" s="142" t="s">
        <v>95</v>
      </c>
      <c r="E846" s="342" t="s">
        <v>2</v>
      </c>
      <c r="F846" s="343" t="s">
        <v>96</v>
      </c>
      <c r="H846" s="149">
        <f>SUM(H844:H845)</f>
        <v>70.671999999999983</v>
      </c>
      <c r="O846" s="1"/>
    </row>
    <row r="847" spans="2:15" s="163" customFormat="1" ht="22.15" customHeight="1">
      <c r="C847" s="135">
        <f>C843+1</f>
        <v>165</v>
      </c>
      <c r="D847" s="135" t="s">
        <v>65</v>
      </c>
      <c r="E847" s="266">
        <v>733224225</v>
      </c>
      <c r="F847" s="267" t="s">
        <v>666</v>
      </c>
      <c r="G847" s="268" t="s">
        <v>265</v>
      </c>
      <c r="H847" s="269">
        <f>H850</f>
        <v>22</v>
      </c>
      <c r="I847" s="281"/>
      <c r="J847" s="140">
        <f t="shared" ref="J847" si="46">ROUND(I847*H847,2)</f>
        <v>0</v>
      </c>
      <c r="K847" s="137"/>
    </row>
    <row r="848" spans="2:15" s="11" customFormat="1" ht="27">
      <c r="B848" s="141"/>
      <c r="D848" s="142" t="s">
        <v>95</v>
      </c>
      <c r="F848" s="144" t="s">
        <v>1780</v>
      </c>
      <c r="H848" s="145">
        <f>(1+1+1+1+1+1)*2</f>
        <v>12</v>
      </c>
      <c r="O848" s="1"/>
    </row>
    <row r="849" spans="2:15" s="11" customFormat="1" ht="27">
      <c r="B849" s="141"/>
      <c r="D849" s="142" t="s">
        <v>95</v>
      </c>
      <c r="F849" s="144" t="s">
        <v>1783</v>
      </c>
      <c r="H849" s="145">
        <f>(1+1+1+1+1)*2</f>
        <v>10</v>
      </c>
      <c r="O849" s="1"/>
    </row>
    <row r="850" spans="2:15" s="12" customFormat="1">
      <c r="B850" s="146"/>
      <c r="D850" s="142" t="s">
        <v>95</v>
      </c>
      <c r="E850" s="342" t="s">
        <v>2</v>
      </c>
      <c r="F850" s="343" t="s">
        <v>96</v>
      </c>
      <c r="H850" s="149">
        <f>SUM(H848:H849)</f>
        <v>22</v>
      </c>
      <c r="O850" s="1"/>
    </row>
    <row r="851" spans="2:15" s="163" customFormat="1" ht="22.15" customHeight="1">
      <c r="C851" s="135">
        <f>C847+1</f>
        <v>166</v>
      </c>
      <c r="D851" s="135" t="s">
        <v>643</v>
      </c>
      <c r="E851" s="136" t="s">
        <v>1945</v>
      </c>
      <c r="F851" s="267" t="s">
        <v>524</v>
      </c>
      <c r="G851" s="268" t="s">
        <v>265</v>
      </c>
      <c r="H851" s="269">
        <f>H854</f>
        <v>8</v>
      </c>
      <c r="I851" s="283"/>
      <c r="J851" s="140">
        <f t="shared" ref="J851" si="47">ROUND(I851*H851,2)</f>
        <v>0</v>
      </c>
      <c r="K851" s="137"/>
    </row>
    <row r="852" spans="2:15" s="11" customFormat="1">
      <c r="B852" s="141"/>
      <c r="D852" s="142" t="s">
        <v>95</v>
      </c>
      <c r="F852" s="144" t="s">
        <v>1781</v>
      </c>
      <c r="H852" s="145">
        <f>(1+1)*2</f>
        <v>4</v>
      </c>
      <c r="O852" s="1"/>
    </row>
    <row r="853" spans="2:15" s="11" customFormat="1" ht="27">
      <c r="B853" s="141"/>
      <c r="D853" s="142" t="s">
        <v>95</v>
      </c>
      <c r="F853" s="144" t="s">
        <v>1784</v>
      </c>
      <c r="H853" s="145">
        <f>(1+1)*2</f>
        <v>4</v>
      </c>
      <c r="O853" s="1"/>
    </row>
    <row r="854" spans="2:15" s="12" customFormat="1">
      <c r="B854" s="146"/>
      <c r="D854" s="142" t="s">
        <v>95</v>
      </c>
      <c r="E854" s="342" t="s">
        <v>2</v>
      </c>
      <c r="F854" s="343" t="s">
        <v>96</v>
      </c>
      <c r="H854" s="149">
        <f>SUM(H852:H853)</f>
        <v>8</v>
      </c>
      <c r="O854" s="1"/>
    </row>
    <row r="855" spans="2:15" s="163" customFormat="1" ht="22.15" customHeight="1">
      <c r="C855" s="135">
        <f>C851+1</f>
        <v>167</v>
      </c>
      <c r="D855" s="135" t="s">
        <v>643</v>
      </c>
      <c r="E855" s="136" t="s">
        <v>1946</v>
      </c>
      <c r="F855" s="267" t="s">
        <v>665</v>
      </c>
      <c r="G855" s="268" t="s">
        <v>155</v>
      </c>
      <c r="H855" s="269">
        <f>H858</f>
        <v>70.671999999999983</v>
      </c>
      <c r="I855" s="281"/>
      <c r="J855" s="140">
        <f t="shared" ref="J855" si="48">ROUND(I855*H855,2)</f>
        <v>0</v>
      </c>
      <c r="K855" s="137"/>
    </row>
    <row r="856" spans="2:15" s="11" customFormat="1" ht="27">
      <c r="B856" s="141"/>
      <c r="D856" s="142" t="s">
        <v>95</v>
      </c>
      <c r="F856" s="144" t="s">
        <v>1779</v>
      </c>
      <c r="H856" s="145">
        <f>(2.5+0.157+1.386+0.172+0.196+2.5+0.139)*2</f>
        <v>14.1</v>
      </c>
      <c r="O856" s="1"/>
    </row>
    <row r="857" spans="2:15" s="11" customFormat="1" ht="27">
      <c r="B857" s="141"/>
      <c r="D857" s="142" t="s">
        <v>95</v>
      </c>
      <c r="F857" s="144" t="s">
        <v>1782</v>
      </c>
      <c r="H857" s="145">
        <f>(0.61+9.775+9.86+6.325+0.246+0.25*3+0.09*8)*2</f>
        <v>56.571999999999989</v>
      </c>
      <c r="O857" s="1"/>
    </row>
    <row r="858" spans="2:15" s="12" customFormat="1">
      <c r="B858" s="146"/>
      <c r="D858" s="142" t="s">
        <v>95</v>
      </c>
      <c r="E858" s="342" t="s">
        <v>2</v>
      </c>
      <c r="F858" s="343" t="s">
        <v>96</v>
      </c>
      <c r="H858" s="149">
        <f>SUM(H856:H857)</f>
        <v>70.671999999999983</v>
      </c>
      <c r="O858" s="1"/>
    </row>
    <row r="859" spans="2:15" s="163" customFormat="1" ht="22.9" customHeight="1">
      <c r="B859" s="254"/>
      <c r="C859" s="135">
        <f>C855+1</f>
        <v>168</v>
      </c>
      <c r="D859" s="258" t="s">
        <v>65</v>
      </c>
      <c r="E859" s="259" t="s">
        <v>1947</v>
      </c>
      <c r="F859" s="255" t="s">
        <v>1955</v>
      </c>
      <c r="G859" s="256" t="s">
        <v>261</v>
      </c>
      <c r="H859" s="261">
        <f>SUM(J843:J858)</f>
        <v>0</v>
      </c>
      <c r="I859" s="280"/>
      <c r="J859" s="140">
        <f>ROUND(I859*H859%,2)</f>
        <v>0</v>
      </c>
      <c r="K859" s="137"/>
    </row>
    <row r="860" spans="2:15" s="163" customFormat="1" ht="22.15" customHeight="1">
      <c r="C860" s="135">
        <f>C859+1</f>
        <v>169</v>
      </c>
      <c r="D860" s="135" t="s">
        <v>65</v>
      </c>
      <c r="E860" s="259" t="s">
        <v>1948</v>
      </c>
      <c r="F860" s="267" t="s">
        <v>1785</v>
      </c>
      <c r="G860" s="271" t="s">
        <v>261</v>
      </c>
      <c r="H860" s="261">
        <f>SUM(J843:J859)</f>
        <v>0</v>
      </c>
      <c r="I860" s="280"/>
      <c r="J860" s="140">
        <f>ROUND(I860*H860%,2)</f>
        <v>0</v>
      </c>
      <c r="K860" s="137"/>
    </row>
    <row r="861" spans="2:15" s="166" customFormat="1" ht="22.15" customHeight="1">
      <c r="C861" s="10"/>
      <c r="D861" s="264"/>
      <c r="E861" s="133">
        <v>734</v>
      </c>
      <c r="F861" s="133" t="s">
        <v>778</v>
      </c>
      <c r="G861" s="265"/>
      <c r="H861" s="265"/>
      <c r="I861" s="265"/>
      <c r="J861" s="134"/>
      <c r="K861" s="265"/>
    </row>
    <row r="862" spans="2:15" s="163" customFormat="1" ht="22.15" customHeight="1">
      <c r="C862" s="135">
        <f>C860+1</f>
        <v>170</v>
      </c>
      <c r="D862" s="135" t="s">
        <v>65</v>
      </c>
      <c r="E862" s="266">
        <v>734209114</v>
      </c>
      <c r="F862" s="267" t="s">
        <v>670</v>
      </c>
      <c r="G862" s="268" t="s">
        <v>265</v>
      </c>
      <c r="H862" s="269">
        <f>H864</f>
        <v>8</v>
      </c>
      <c r="I862" s="281"/>
      <c r="J862" s="140">
        <f t="shared" ref="J862:J868" si="49">ROUND(I862*H862,2)</f>
        <v>0</v>
      </c>
      <c r="K862" s="137"/>
    </row>
    <row r="863" spans="2:15" s="11" customFormat="1">
      <c r="B863" s="141"/>
      <c r="D863" s="142" t="s">
        <v>95</v>
      </c>
      <c r="F863" s="144" t="s">
        <v>1790</v>
      </c>
      <c r="H863" s="145">
        <f>(1)*8</f>
        <v>8</v>
      </c>
      <c r="O863" s="1"/>
    </row>
    <row r="864" spans="2:15" s="12" customFormat="1">
      <c r="B864" s="146"/>
      <c r="D864" s="142" t="s">
        <v>95</v>
      </c>
      <c r="E864" s="342" t="s">
        <v>2</v>
      </c>
      <c r="F864" s="343" t="s">
        <v>96</v>
      </c>
      <c r="H864" s="149">
        <f>SUM(H863:H863)</f>
        <v>8</v>
      </c>
      <c r="O864" s="1"/>
    </row>
    <row r="865" spans="2:15" s="163" customFormat="1" ht="22.15" customHeight="1">
      <c r="C865" s="135">
        <f>C862+1</f>
        <v>171</v>
      </c>
      <c r="D865" s="135" t="s">
        <v>65</v>
      </c>
      <c r="E865" s="266">
        <v>734209115</v>
      </c>
      <c r="F865" s="267" t="s">
        <v>669</v>
      </c>
      <c r="G865" s="268" t="s">
        <v>265</v>
      </c>
      <c r="H865" s="269">
        <f>H867</f>
        <v>8</v>
      </c>
      <c r="I865" s="281"/>
      <c r="J865" s="140">
        <f t="shared" si="49"/>
        <v>0</v>
      </c>
      <c r="K865" s="137"/>
    </row>
    <row r="866" spans="2:15" s="11" customFormat="1">
      <c r="B866" s="141"/>
      <c r="D866" s="142" t="s">
        <v>95</v>
      </c>
      <c r="F866" s="144" t="s">
        <v>1790</v>
      </c>
      <c r="H866" s="145">
        <f>(1)*8</f>
        <v>8</v>
      </c>
      <c r="O866" s="1"/>
    </row>
    <row r="867" spans="2:15" s="12" customFormat="1">
      <c r="B867" s="146"/>
      <c r="D867" s="142" t="s">
        <v>95</v>
      </c>
      <c r="E867" s="342" t="s">
        <v>2</v>
      </c>
      <c r="F867" s="343" t="s">
        <v>96</v>
      </c>
      <c r="H867" s="149">
        <f>SUM(H866:H866)</f>
        <v>8</v>
      </c>
      <c r="O867" s="1"/>
    </row>
    <row r="868" spans="2:15" s="349" customFormat="1" ht="22.15" customHeight="1">
      <c r="C868" s="150">
        <f>C865+1</f>
        <v>172</v>
      </c>
      <c r="D868" s="150" t="s">
        <v>123</v>
      </c>
      <c r="E868" s="151" t="s">
        <v>1949</v>
      </c>
      <c r="F868" s="351" t="s">
        <v>525</v>
      </c>
      <c r="G868" s="350" t="s">
        <v>265</v>
      </c>
      <c r="H868" s="325">
        <f>H870</f>
        <v>8</v>
      </c>
      <c r="I868" s="91"/>
      <c r="J868" s="155">
        <f t="shared" si="49"/>
        <v>0</v>
      </c>
      <c r="K868" s="152"/>
    </row>
    <row r="869" spans="2:15" s="11" customFormat="1">
      <c r="B869" s="141"/>
      <c r="D869" s="142" t="s">
        <v>95</v>
      </c>
      <c r="F869" s="144" t="s">
        <v>1790</v>
      </c>
      <c r="H869" s="145">
        <f>(1)*8</f>
        <v>8</v>
      </c>
      <c r="O869" s="1"/>
    </row>
    <row r="870" spans="2:15" s="12" customFormat="1">
      <c r="B870" s="146"/>
      <c r="D870" s="142" t="s">
        <v>95</v>
      </c>
      <c r="E870" s="342" t="s">
        <v>2</v>
      </c>
      <c r="F870" s="343" t="s">
        <v>96</v>
      </c>
      <c r="H870" s="149">
        <f>SUM(H869:H869)</f>
        <v>8</v>
      </c>
      <c r="O870" s="1"/>
    </row>
    <row r="871" spans="2:15" s="163" customFormat="1" ht="22.9" customHeight="1">
      <c r="B871" s="254"/>
      <c r="C871" s="135">
        <f>C868+1</f>
        <v>173</v>
      </c>
      <c r="D871" s="258" t="s">
        <v>65</v>
      </c>
      <c r="E871" s="259" t="s">
        <v>1947</v>
      </c>
      <c r="F871" s="255" t="s">
        <v>1955</v>
      </c>
      <c r="G871" s="256" t="s">
        <v>261</v>
      </c>
      <c r="H871" s="261">
        <f>SUM(J862:J870)</f>
        <v>0</v>
      </c>
      <c r="I871" s="280"/>
      <c r="J871" s="140">
        <f>ROUND(I871*H871%,2)</f>
        <v>0</v>
      </c>
      <c r="K871" s="137"/>
    </row>
    <row r="872" spans="2:15" s="163" customFormat="1" ht="22.15" customHeight="1">
      <c r="C872" s="135">
        <f>C871+1</f>
        <v>174</v>
      </c>
      <c r="D872" s="135" t="s">
        <v>65</v>
      </c>
      <c r="E872" s="259" t="s">
        <v>1948</v>
      </c>
      <c r="F872" s="267" t="s">
        <v>1791</v>
      </c>
      <c r="G872" s="271" t="s">
        <v>261</v>
      </c>
      <c r="H872" s="261">
        <f>SUM(J862:J871)</f>
        <v>0</v>
      </c>
      <c r="I872" s="280"/>
      <c r="J872" s="140">
        <f>ROUND(I872*H872%,2)</f>
        <v>0</v>
      </c>
      <c r="K872" s="137"/>
    </row>
    <row r="873" spans="2:15" s="166" customFormat="1" ht="22.15" customHeight="1">
      <c r="C873" s="10"/>
      <c r="D873" s="264"/>
      <c r="E873" s="133">
        <v>735</v>
      </c>
      <c r="F873" s="133" t="s">
        <v>674</v>
      </c>
      <c r="G873" s="265"/>
      <c r="H873" s="265"/>
      <c r="I873" s="265"/>
      <c r="J873" s="134"/>
      <c r="K873" s="265"/>
    </row>
    <row r="874" spans="2:15" s="163" customFormat="1" ht="22.15" customHeight="1">
      <c r="C874" s="135">
        <f>C872+1</f>
        <v>175</v>
      </c>
      <c r="D874" s="135" t="s">
        <v>65</v>
      </c>
      <c r="E874" s="266">
        <v>735150199</v>
      </c>
      <c r="F874" s="267" t="s">
        <v>1793</v>
      </c>
      <c r="G874" s="268" t="s">
        <v>265</v>
      </c>
      <c r="H874" s="269">
        <f>H876</f>
        <v>7</v>
      </c>
      <c r="I874" s="281"/>
      <c r="J874" s="140">
        <f t="shared" ref="J874:J898" si="50">ROUND(I874*H874,2)</f>
        <v>0</v>
      </c>
      <c r="K874" s="137"/>
    </row>
    <row r="875" spans="2:15" s="11" customFormat="1">
      <c r="B875" s="141"/>
      <c r="D875" s="142" t="s">
        <v>95</v>
      </c>
      <c r="F875" s="144" t="s">
        <v>1794</v>
      </c>
      <c r="H875" s="145">
        <f>(1)*7</f>
        <v>7</v>
      </c>
      <c r="O875" s="1"/>
    </row>
    <row r="876" spans="2:15" s="12" customFormat="1">
      <c r="B876" s="146"/>
      <c r="D876" s="142" t="s">
        <v>95</v>
      </c>
      <c r="E876" s="342" t="s">
        <v>2</v>
      </c>
      <c r="F876" s="343" t="s">
        <v>96</v>
      </c>
      <c r="H876" s="149">
        <f>SUM(H875:H875)</f>
        <v>7</v>
      </c>
      <c r="O876" s="1"/>
    </row>
    <row r="877" spans="2:15" s="163" customFormat="1" ht="22.9" customHeight="1">
      <c r="B877" s="254"/>
      <c r="C877" s="135">
        <f>C874+1</f>
        <v>176</v>
      </c>
      <c r="D877" s="258" t="s">
        <v>65</v>
      </c>
      <c r="E877" s="259" t="s">
        <v>1950</v>
      </c>
      <c r="F877" s="255" t="s">
        <v>1659</v>
      </c>
      <c r="G877" s="256" t="s">
        <v>261</v>
      </c>
      <c r="H877" s="261">
        <f>SUM(J874:J876)</f>
        <v>0</v>
      </c>
      <c r="I877" s="280"/>
      <c r="J877" s="140">
        <f>ROUND(I877*H877%,2)</f>
        <v>0</v>
      </c>
      <c r="K877" s="137"/>
    </row>
    <row r="878" spans="2:15" s="163" customFormat="1" ht="22.15" customHeight="1">
      <c r="C878" s="135">
        <f>C877+1</f>
        <v>177</v>
      </c>
      <c r="D878" s="135" t="s">
        <v>65</v>
      </c>
      <c r="E878" s="266">
        <v>735159210</v>
      </c>
      <c r="F878" s="267" t="s">
        <v>675</v>
      </c>
      <c r="G878" s="268" t="s">
        <v>265</v>
      </c>
      <c r="H878" s="269">
        <f>H880</f>
        <v>7</v>
      </c>
      <c r="I878" s="281"/>
      <c r="J878" s="140">
        <f t="shared" ref="J878" si="51">ROUND(I878*H878,2)</f>
        <v>0</v>
      </c>
      <c r="K878" s="137"/>
    </row>
    <row r="879" spans="2:15" s="11" customFormat="1">
      <c r="B879" s="141"/>
      <c r="D879" s="142" t="s">
        <v>95</v>
      </c>
      <c r="F879" s="144" t="s">
        <v>1792</v>
      </c>
      <c r="H879" s="145">
        <f>(1)*7</f>
        <v>7</v>
      </c>
      <c r="O879" s="1"/>
    </row>
    <row r="880" spans="2:15" s="12" customFormat="1">
      <c r="B880" s="146"/>
      <c r="D880" s="142" t="s">
        <v>95</v>
      </c>
      <c r="E880" s="342" t="s">
        <v>2</v>
      </c>
      <c r="F880" s="343" t="s">
        <v>96</v>
      </c>
      <c r="H880" s="149">
        <f>SUM(H879:H879)</f>
        <v>7</v>
      </c>
      <c r="O880" s="1"/>
    </row>
    <row r="881" spans="2:15" s="163" customFormat="1" ht="22.15" customHeight="1">
      <c r="C881" s="135">
        <f>C878+1</f>
        <v>178</v>
      </c>
      <c r="D881" s="135" t="s">
        <v>65</v>
      </c>
      <c r="E881" s="266">
        <v>735159220</v>
      </c>
      <c r="F881" s="267" t="s">
        <v>1799</v>
      </c>
      <c r="G881" s="268" t="s">
        <v>265</v>
      </c>
      <c r="H881" s="269">
        <f>H883</f>
        <v>1</v>
      </c>
      <c r="I881" s="281"/>
      <c r="J881" s="140">
        <f t="shared" ref="J881" si="52">ROUND(I881*H881,2)</f>
        <v>0</v>
      </c>
      <c r="K881" s="137"/>
    </row>
    <row r="882" spans="2:15" s="11" customFormat="1">
      <c r="B882" s="141"/>
      <c r="D882" s="142" t="s">
        <v>95</v>
      </c>
      <c r="F882" s="144" t="s">
        <v>1795</v>
      </c>
      <c r="H882" s="145">
        <f>1</f>
        <v>1</v>
      </c>
      <c r="O882" s="1"/>
    </row>
    <row r="883" spans="2:15" s="12" customFormat="1">
      <c r="B883" s="146"/>
      <c r="D883" s="142" t="s">
        <v>95</v>
      </c>
      <c r="E883" s="342" t="s">
        <v>2</v>
      </c>
      <c r="F883" s="343" t="s">
        <v>96</v>
      </c>
      <c r="H883" s="149">
        <f>SUM(H882:H882)</f>
        <v>1</v>
      </c>
      <c r="O883" s="1"/>
    </row>
    <row r="884" spans="2:15" s="163" customFormat="1" ht="22.15" customHeight="1">
      <c r="C884" s="135">
        <f>C881+1</f>
        <v>179</v>
      </c>
      <c r="D884" s="135" t="s">
        <v>65</v>
      </c>
      <c r="E884" s="266">
        <v>735159235</v>
      </c>
      <c r="F884" s="267" t="s">
        <v>1800</v>
      </c>
      <c r="G884" s="268" t="s">
        <v>265</v>
      </c>
      <c r="H884" s="269">
        <f>H886</f>
        <v>1</v>
      </c>
      <c r="I884" s="281"/>
      <c r="J884" s="140">
        <f t="shared" si="50"/>
        <v>0</v>
      </c>
      <c r="K884" s="137"/>
    </row>
    <row r="885" spans="2:15" s="11" customFormat="1">
      <c r="B885" s="141"/>
      <c r="D885" s="142" t="s">
        <v>95</v>
      </c>
      <c r="F885" s="144" t="s">
        <v>1801</v>
      </c>
      <c r="H885" s="145">
        <f>1</f>
        <v>1</v>
      </c>
      <c r="O885" s="1"/>
    </row>
    <row r="886" spans="2:15" s="12" customFormat="1">
      <c r="B886" s="146"/>
      <c r="D886" s="142" t="s">
        <v>95</v>
      </c>
      <c r="E886" s="342" t="s">
        <v>2</v>
      </c>
      <c r="F886" s="343" t="s">
        <v>96</v>
      </c>
      <c r="H886" s="149">
        <f>SUM(H885:H885)</f>
        <v>1</v>
      </c>
      <c r="O886" s="1"/>
    </row>
    <row r="887" spans="2:15" s="163" customFormat="1" ht="22.15" customHeight="1">
      <c r="C887" s="135">
        <f>C884+1</f>
        <v>180</v>
      </c>
      <c r="D887" s="135" t="s">
        <v>643</v>
      </c>
      <c r="E887" s="136" t="s">
        <v>1940</v>
      </c>
      <c r="F887" s="267" t="s">
        <v>1796</v>
      </c>
      <c r="G887" s="268" t="s">
        <v>66</v>
      </c>
      <c r="H887" s="269">
        <f>H891</f>
        <v>9</v>
      </c>
      <c r="I887" s="281"/>
      <c r="J887" s="140">
        <f t="shared" si="50"/>
        <v>0</v>
      </c>
      <c r="K887" s="137"/>
    </row>
    <row r="888" spans="2:15" s="11" customFormat="1">
      <c r="B888" s="141"/>
      <c r="D888" s="142" t="s">
        <v>95</v>
      </c>
      <c r="F888" s="144" t="s">
        <v>1801</v>
      </c>
      <c r="H888" s="145">
        <f>(1)</f>
        <v>1</v>
      </c>
      <c r="O888" s="1"/>
    </row>
    <row r="889" spans="2:15" s="11" customFormat="1">
      <c r="B889" s="141"/>
      <c r="D889" s="142" t="s">
        <v>95</v>
      </c>
      <c r="F889" s="144" t="s">
        <v>1795</v>
      </c>
      <c r="H889" s="145">
        <f>1</f>
        <v>1</v>
      </c>
      <c r="O889" s="1"/>
    </row>
    <row r="890" spans="2:15" s="11" customFormat="1">
      <c r="B890" s="141"/>
      <c r="D890" s="142" t="s">
        <v>95</v>
      </c>
      <c r="F890" s="144" t="s">
        <v>1792</v>
      </c>
      <c r="H890" s="145">
        <f>(1)*7</f>
        <v>7</v>
      </c>
      <c r="O890" s="1"/>
    </row>
    <row r="891" spans="2:15" s="12" customFormat="1">
      <c r="B891" s="146"/>
      <c r="D891" s="142" t="s">
        <v>95</v>
      </c>
      <c r="E891" s="342" t="s">
        <v>2</v>
      </c>
      <c r="F891" s="343" t="s">
        <v>96</v>
      </c>
      <c r="H891" s="149">
        <f>SUM(H888:H890)</f>
        <v>9</v>
      </c>
      <c r="O891" s="1"/>
    </row>
    <row r="892" spans="2:15" s="349" customFormat="1" ht="22.15" customHeight="1">
      <c r="C892" s="150">
        <f>C887+1</f>
        <v>181</v>
      </c>
      <c r="D892" s="150" t="s">
        <v>123</v>
      </c>
      <c r="E892" s="151" t="s">
        <v>1941</v>
      </c>
      <c r="F892" s="323" t="s">
        <v>1797</v>
      </c>
      <c r="G892" s="350" t="s">
        <v>265</v>
      </c>
      <c r="H892" s="325">
        <f>H894</f>
        <v>7</v>
      </c>
      <c r="I892" s="91"/>
      <c r="J892" s="155">
        <f t="shared" si="50"/>
        <v>0</v>
      </c>
      <c r="K892" s="152"/>
    </row>
    <row r="893" spans="2:15" s="11" customFormat="1" ht="27">
      <c r="B893" s="141"/>
      <c r="D893" s="142" t="s">
        <v>95</v>
      </c>
      <c r="F893" s="144" t="s">
        <v>1798</v>
      </c>
      <c r="H893" s="145">
        <f>(1)*7</f>
        <v>7</v>
      </c>
      <c r="O893" s="1"/>
    </row>
    <row r="894" spans="2:15" s="12" customFormat="1">
      <c r="B894" s="146"/>
      <c r="D894" s="142" t="s">
        <v>95</v>
      </c>
      <c r="E894" s="342" t="s">
        <v>2</v>
      </c>
      <c r="F894" s="343" t="s">
        <v>96</v>
      </c>
      <c r="H894" s="149">
        <f>SUM(H893:H893)</f>
        <v>7</v>
      </c>
      <c r="O894" s="1"/>
    </row>
    <row r="895" spans="2:15" s="349" customFormat="1" ht="22.15" customHeight="1">
      <c r="C895" s="150">
        <f>C892+1</f>
        <v>182</v>
      </c>
      <c r="D895" s="150" t="s">
        <v>123</v>
      </c>
      <c r="E895" s="151" t="s">
        <v>1951</v>
      </c>
      <c r="F895" s="323" t="s">
        <v>1802</v>
      </c>
      <c r="G895" s="350" t="s">
        <v>265</v>
      </c>
      <c r="H895" s="325">
        <f>H897</f>
        <v>1</v>
      </c>
      <c r="I895" s="91"/>
      <c r="J895" s="155">
        <f t="shared" si="50"/>
        <v>0</v>
      </c>
      <c r="K895" s="152"/>
    </row>
    <row r="896" spans="2:15" s="11" customFormat="1" ht="27">
      <c r="B896" s="141"/>
      <c r="D896" s="142" t="s">
        <v>95</v>
      </c>
      <c r="F896" s="144" t="s">
        <v>1803</v>
      </c>
      <c r="H896" s="145">
        <f>(1)</f>
        <v>1</v>
      </c>
      <c r="O896" s="1"/>
    </row>
    <row r="897" spans="2:15" s="12" customFormat="1">
      <c r="B897" s="146"/>
      <c r="D897" s="142" t="s">
        <v>95</v>
      </c>
      <c r="E897" s="342" t="s">
        <v>2</v>
      </c>
      <c r="F897" s="343" t="s">
        <v>96</v>
      </c>
      <c r="H897" s="149">
        <f>SUM(H896:H896)</f>
        <v>1</v>
      </c>
      <c r="O897" s="1"/>
    </row>
    <row r="898" spans="2:15" s="349" customFormat="1" ht="27">
      <c r="C898" s="150">
        <f>C895+1</f>
        <v>183</v>
      </c>
      <c r="D898" s="150" t="s">
        <v>123</v>
      </c>
      <c r="E898" s="151" t="s">
        <v>1952</v>
      </c>
      <c r="F898" s="329" t="s">
        <v>1805</v>
      </c>
      <c r="G898" s="350" t="s">
        <v>265</v>
      </c>
      <c r="H898" s="325">
        <f>H900</f>
        <v>1</v>
      </c>
      <c r="I898" s="91"/>
      <c r="J898" s="155">
        <f t="shared" si="50"/>
        <v>0</v>
      </c>
      <c r="K898" s="152"/>
    </row>
    <row r="899" spans="2:15" s="11" customFormat="1" ht="27">
      <c r="B899" s="141"/>
      <c r="D899" s="142" t="s">
        <v>95</v>
      </c>
      <c r="F899" s="144" t="s">
        <v>1804</v>
      </c>
      <c r="H899" s="145">
        <f>(1)</f>
        <v>1</v>
      </c>
      <c r="O899" s="1"/>
    </row>
    <row r="900" spans="2:15" s="12" customFormat="1">
      <c r="B900" s="146"/>
      <c r="D900" s="142" t="s">
        <v>95</v>
      </c>
      <c r="E900" s="342" t="s">
        <v>2</v>
      </c>
      <c r="F900" s="343" t="s">
        <v>96</v>
      </c>
      <c r="H900" s="149">
        <f>SUM(H899:H899)</f>
        <v>1</v>
      </c>
      <c r="O900" s="1"/>
    </row>
    <row r="901" spans="2:15" s="163" customFormat="1" ht="22.9" customHeight="1">
      <c r="B901" s="254"/>
      <c r="C901" s="135">
        <f>C898+1</f>
        <v>184</v>
      </c>
      <c r="D901" s="258" t="s">
        <v>65</v>
      </c>
      <c r="E901" s="259" t="s">
        <v>1953</v>
      </c>
      <c r="F901" s="255" t="s">
        <v>1955</v>
      </c>
      <c r="G901" s="256" t="s">
        <v>261</v>
      </c>
      <c r="H901" s="261">
        <f>SUM(J878:J898)</f>
        <v>0</v>
      </c>
      <c r="I901" s="280"/>
      <c r="J901" s="140">
        <f>ROUND(I901*H901%,2)</f>
        <v>0</v>
      </c>
      <c r="K901" s="137"/>
    </row>
    <row r="902" spans="2:15" s="163" customFormat="1" ht="22.15" customHeight="1">
      <c r="C902" s="135">
        <f>C901+1</f>
        <v>185</v>
      </c>
      <c r="D902" s="135" t="s">
        <v>65</v>
      </c>
      <c r="E902" s="259" t="s">
        <v>1948</v>
      </c>
      <c r="F902" s="267" t="s">
        <v>1806</v>
      </c>
      <c r="G902" s="271" t="s">
        <v>261</v>
      </c>
      <c r="H902" s="261">
        <f>SUM(J874:J901)</f>
        <v>0</v>
      </c>
      <c r="I902" s="280"/>
      <c r="J902" s="140">
        <f>ROUND(I902*H902%,2)</f>
        <v>0</v>
      </c>
      <c r="K902" s="137"/>
    </row>
    <row r="903" spans="2:15" s="10" customFormat="1" ht="29.85" customHeight="1">
      <c r="B903" s="128"/>
      <c r="D903" s="129" t="s">
        <v>39</v>
      </c>
      <c r="E903" s="133" t="s">
        <v>215</v>
      </c>
      <c r="F903" s="133" t="s">
        <v>771</v>
      </c>
      <c r="J903" s="134">
        <f>SUM(J904:J1230)</f>
        <v>0</v>
      </c>
    </row>
    <row r="904" spans="2:15" s="1" customFormat="1" ht="22.9" customHeight="1">
      <c r="B904" s="39"/>
      <c r="C904" s="135">
        <f>C902+1</f>
        <v>186</v>
      </c>
      <c r="D904" s="135" t="s">
        <v>643</v>
      </c>
      <c r="E904" s="136" t="s">
        <v>1251</v>
      </c>
      <c r="F904" s="137" t="s">
        <v>782</v>
      </c>
      <c r="G904" s="138" t="s">
        <v>66</v>
      </c>
      <c r="H904" s="139">
        <f>H906</f>
        <v>1</v>
      </c>
      <c r="I904" s="90"/>
      <c r="J904" s="140">
        <f>ROUND(I904*H904,2)</f>
        <v>0</v>
      </c>
      <c r="K904" s="137"/>
    </row>
    <row r="905" spans="2:15" s="11" customFormat="1">
      <c r="B905" s="141"/>
      <c r="D905" s="142" t="s">
        <v>95</v>
      </c>
      <c r="F905" s="144" t="s">
        <v>1812</v>
      </c>
      <c r="H905" s="145">
        <f>(1)</f>
        <v>1</v>
      </c>
      <c r="O905" s="1"/>
    </row>
    <row r="906" spans="2:15" s="12" customFormat="1">
      <c r="B906" s="146"/>
      <c r="D906" s="142" t="s">
        <v>95</v>
      </c>
      <c r="E906" s="342" t="s">
        <v>2</v>
      </c>
      <c r="F906" s="343" t="s">
        <v>96</v>
      </c>
      <c r="H906" s="149">
        <f>SUM(H905:H905)</f>
        <v>1</v>
      </c>
      <c r="O906" s="1"/>
    </row>
    <row r="907" spans="2:15" s="1" customFormat="1" ht="22.9" customHeight="1">
      <c r="B907" s="39"/>
      <c r="C907" s="135">
        <f>C904+1</f>
        <v>187</v>
      </c>
      <c r="D907" s="135" t="s">
        <v>643</v>
      </c>
      <c r="E907" s="136" t="s">
        <v>1252</v>
      </c>
      <c r="F907" s="137" t="s">
        <v>1927</v>
      </c>
      <c r="G907" s="138" t="s">
        <v>261</v>
      </c>
      <c r="H907" s="140">
        <f>SUM(J918:J1230)</f>
        <v>0</v>
      </c>
      <c r="I907" s="90"/>
      <c r="J907" s="140">
        <f>ROUND(I907%*H907,2)</f>
        <v>0</v>
      </c>
      <c r="K907" s="137"/>
    </row>
    <row r="908" spans="2:15" s="1" customFormat="1" ht="22.9" customHeight="1">
      <c r="B908" s="39"/>
      <c r="C908" s="135">
        <f>C907+1</f>
        <v>188</v>
      </c>
      <c r="D908" s="135" t="s">
        <v>643</v>
      </c>
      <c r="E908" s="136" t="s">
        <v>1253</v>
      </c>
      <c r="F908" s="137" t="s">
        <v>1928</v>
      </c>
      <c r="G908" s="138" t="s">
        <v>261</v>
      </c>
      <c r="H908" s="140">
        <f>SUM(J918:J1230)</f>
        <v>0</v>
      </c>
      <c r="I908" s="90"/>
      <c r="J908" s="140">
        <f>ROUND(I908%*H908,2)</f>
        <v>0</v>
      </c>
      <c r="K908" s="137"/>
    </row>
    <row r="909" spans="2:15" s="163" customFormat="1" ht="22.9" customHeight="1">
      <c r="B909" s="254"/>
      <c r="C909" s="135">
        <f>C908+1</f>
        <v>189</v>
      </c>
      <c r="D909" s="258" t="s">
        <v>643</v>
      </c>
      <c r="E909" s="136" t="s">
        <v>1253</v>
      </c>
      <c r="F909" s="255" t="s">
        <v>1249</v>
      </c>
      <c r="G909" s="256" t="s">
        <v>181</v>
      </c>
      <c r="H909" s="257">
        <f>H911</f>
        <v>1</v>
      </c>
      <c r="I909" s="90"/>
      <c r="J909" s="140">
        <f t="shared" ref="J909" si="53">ROUND(I909*H909,2)</f>
        <v>0</v>
      </c>
      <c r="K909" s="137"/>
      <c r="O909" s="1"/>
    </row>
    <row r="910" spans="2:15" s="11" customFormat="1">
      <c r="B910" s="141"/>
      <c r="D910" s="142" t="s">
        <v>95</v>
      </c>
      <c r="F910" s="144" t="s">
        <v>1250</v>
      </c>
      <c r="H910" s="145">
        <f>1</f>
        <v>1</v>
      </c>
      <c r="O910" s="1"/>
    </row>
    <row r="911" spans="2:15" s="12" customFormat="1">
      <c r="B911" s="146"/>
      <c r="D911" s="142" t="s">
        <v>95</v>
      </c>
      <c r="E911" s="342" t="s">
        <v>2</v>
      </c>
      <c r="F911" s="343" t="s">
        <v>96</v>
      </c>
      <c r="H911" s="149">
        <f>SUM(H910:H910)</f>
        <v>1</v>
      </c>
      <c r="O911" s="1"/>
    </row>
    <row r="912" spans="2:15" s="1" customFormat="1" ht="22.9" customHeight="1">
      <c r="B912" s="39"/>
      <c r="C912" s="135">
        <f>C909+1</f>
        <v>190</v>
      </c>
      <c r="D912" s="135" t="s">
        <v>643</v>
      </c>
      <c r="E912" s="136" t="s">
        <v>1254</v>
      </c>
      <c r="F912" s="137" t="s">
        <v>676</v>
      </c>
      <c r="G912" s="138" t="s">
        <v>523</v>
      </c>
      <c r="H912" s="139">
        <f>H914</f>
        <v>26</v>
      </c>
      <c r="I912" s="90"/>
      <c r="J912" s="140">
        <f>ROUND(I912*H912,2)</f>
        <v>0</v>
      </c>
      <c r="K912" s="137"/>
    </row>
    <row r="913" spans="2:15" s="11" customFormat="1">
      <c r="B913" s="141"/>
      <c r="D913" s="142" t="s">
        <v>95</v>
      </c>
      <c r="F913" s="144" t="s">
        <v>1813</v>
      </c>
      <c r="H913" s="145">
        <f>26</f>
        <v>26</v>
      </c>
      <c r="O913" s="1"/>
    </row>
    <row r="914" spans="2:15" s="12" customFormat="1">
      <c r="B914" s="146"/>
      <c r="D914" s="142" t="s">
        <v>95</v>
      </c>
      <c r="E914" s="342" t="s">
        <v>2</v>
      </c>
      <c r="F914" s="343" t="s">
        <v>96</v>
      </c>
      <c r="H914" s="149">
        <f>SUM(H913:H913)</f>
        <v>26</v>
      </c>
      <c r="O914" s="1"/>
    </row>
    <row r="915" spans="2:15" s="349" customFormat="1" ht="22.9" customHeight="1">
      <c r="B915" s="348"/>
      <c r="C915" s="150">
        <f>C912+1</f>
        <v>191</v>
      </c>
      <c r="D915" s="150" t="s">
        <v>123</v>
      </c>
      <c r="E915" s="151" t="s">
        <v>1897</v>
      </c>
      <c r="F915" s="152" t="s">
        <v>677</v>
      </c>
      <c r="G915" s="153" t="s">
        <v>181</v>
      </c>
      <c r="H915" s="154">
        <f>H917</f>
        <v>1</v>
      </c>
      <c r="I915" s="91"/>
      <c r="J915" s="155">
        <f>ROUND(I915*H915,2)</f>
        <v>0</v>
      </c>
      <c r="K915" s="152"/>
    </row>
    <row r="916" spans="2:15" s="11" customFormat="1">
      <c r="B916" s="141"/>
      <c r="D916" s="142" t="s">
        <v>95</v>
      </c>
      <c r="F916" s="144" t="s">
        <v>1812</v>
      </c>
      <c r="H916" s="145">
        <f>(1)</f>
        <v>1</v>
      </c>
      <c r="O916" s="1"/>
    </row>
    <row r="917" spans="2:15" s="12" customFormat="1">
      <c r="B917" s="146"/>
      <c r="D917" s="142" t="s">
        <v>95</v>
      </c>
      <c r="E917" s="342" t="s">
        <v>2</v>
      </c>
      <c r="F917" s="343" t="s">
        <v>96</v>
      </c>
      <c r="H917" s="149">
        <f>SUM(H916:H916)</f>
        <v>1</v>
      </c>
      <c r="O917" s="1"/>
    </row>
    <row r="918" spans="2:15" s="10" customFormat="1" ht="16.5">
      <c r="B918" s="128"/>
      <c r="D918" s="129"/>
      <c r="E918" s="322" t="s">
        <v>678</v>
      </c>
      <c r="F918" s="274" t="s">
        <v>2355</v>
      </c>
      <c r="G918" s="132"/>
      <c r="J918" s="134"/>
    </row>
    <row r="919" spans="2:15" s="349" customFormat="1" ht="22.9" customHeight="1">
      <c r="B919" s="348"/>
      <c r="C919" s="150">
        <f>C915+1</f>
        <v>192</v>
      </c>
      <c r="D919" s="150" t="s">
        <v>123</v>
      </c>
      <c r="E919" s="151" t="s">
        <v>679</v>
      </c>
      <c r="F919" s="323" t="s">
        <v>2356</v>
      </c>
      <c r="G919" s="150" t="s">
        <v>181</v>
      </c>
      <c r="H919" s="324">
        <f>H921</f>
        <v>1</v>
      </c>
      <c r="I919" s="91"/>
      <c r="J919" s="155">
        <f t="shared" ref="J919:J937" si="54">ROUND(I919*H919,2)</f>
        <v>0</v>
      </c>
      <c r="K919" s="152"/>
    </row>
    <row r="920" spans="2:15" s="11" customFormat="1">
      <c r="B920" s="141"/>
      <c r="D920" s="142" t="s">
        <v>95</v>
      </c>
      <c r="F920" s="144" t="s">
        <v>1812</v>
      </c>
      <c r="H920" s="145">
        <f>1</f>
        <v>1</v>
      </c>
      <c r="O920" s="1"/>
    </row>
    <row r="921" spans="2:15" s="12" customFormat="1">
      <c r="B921" s="146"/>
      <c r="D921" s="142" t="s">
        <v>95</v>
      </c>
      <c r="E921" s="342" t="s">
        <v>2</v>
      </c>
      <c r="F921" s="343" t="s">
        <v>96</v>
      </c>
      <c r="H921" s="149">
        <f>SUM(H920:H920)</f>
        <v>1</v>
      </c>
      <c r="O921" s="1"/>
    </row>
    <row r="922" spans="2:15" s="349" customFormat="1" ht="22.9" customHeight="1">
      <c r="B922" s="348"/>
      <c r="C922" s="150">
        <f>C919+1</f>
        <v>193</v>
      </c>
      <c r="D922" s="150" t="s">
        <v>123</v>
      </c>
      <c r="E922" s="151" t="s">
        <v>680</v>
      </c>
      <c r="F922" s="323" t="s">
        <v>2357</v>
      </c>
      <c r="G922" s="150" t="s">
        <v>181</v>
      </c>
      <c r="H922" s="324">
        <f>H924</f>
        <v>1</v>
      </c>
      <c r="I922" s="91"/>
      <c r="J922" s="155">
        <f t="shared" ref="J922" si="55">ROUND(I922*H922,2)</f>
        <v>0</v>
      </c>
      <c r="K922" s="152"/>
    </row>
    <row r="923" spans="2:15" s="11" customFormat="1">
      <c r="B923" s="141"/>
      <c r="D923" s="142" t="s">
        <v>95</v>
      </c>
      <c r="F923" s="144" t="s">
        <v>1812</v>
      </c>
      <c r="H923" s="145">
        <f>1</f>
        <v>1</v>
      </c>
      <c r="O923" s="1"/>
    </row>
    <row r="924" spans="2:15" s="12" customFormat="1">
      <c r="B924" s="146"/>
      <c r="D924" s="142" t="s">
        <v>95</v>
      </c>
      <c r="E924" s="342" t="s">
        <v>2</v>
      </c>
      <c r="F924" s="343" t="s">
        <v>96</v>
      </c>
      <c r="H924" s="149">
        <f>SUM(H923:H923)</f>
        <v>1</v>
      </c>
      <c r="O924" s="1"/>
    </row>
    <row r="925" spans="2:15" s="349" customFormat="1" ht="22.9" customHeight="1">
      <c r="B925" s="348"/>
      <c r="C925" s="150">
        <f>C922+1</f>
        <v>194</v>
      </c>
      <c r="D925" s="150" t="s">
        <v>123</v>
      </c>
      <c r="E925" s="151" t="s">
        <v>682</v>
      </c>
      <c r="F925" s="323" t="s">
        <v>2358</v>
      </c>
      <c r="G925" s="150" t="s">
        <v>181</v>
      </c>
      <c r="H925" s="324">
        <f>H927</f>
        <v>4</v>
      </c>
      <c r="I925" s="91"/>
      <c r="J925" s="155">
        <f t="shared" ref="J925" si="56">ROUND(I925*H925,2)</f>
        <v>0</v>
      </c>
      <c r="K925" s="152"/>
    </row>
    <row r="926" spans="2:15" s="11" customFormat="1">
      <c r="B926" s="141"/>
      <c r="D926" s="142" t="s">
        <v>95</v>
      </c>
      <c r="F926" s="144" t="s">
        <v>2359</v>
      </c>
      <c r="H926" s="145">
        <f>(1+1+1+1)</f>
        <v>4</v>
      </c>
      <c r="O926" s="1"/>
    </row>
    <row r="927" spans="2:15" s="12" customFormat="1">
      <c r="B927" s="146"/>
      <c r="D927" s="142" t="s">
        <v>95</v>
      </c>
      <c r="E927" s="342" t="s">
        <v>2</v>
      </c>
      <c r="F927" s="343" t="s">
        <v>96</v>
      </c>
      <c r="H927" s="149">
        <f>SUM(H926:H926)</f>
        <v>4</v>
      </c>
      <c r="O927" s="1"/>
    </row>
    <row r="928" spans="2:15" s="349" customFormat="1" ht="22.9" customHeight="1">
      <c r="B928" s="348"/>
      <c r="C928" s="150">
        <f>C925+1</f>
        <v>195</v>
      </c>
      <c r="D928" s="150" t="s">
        <v>123</v>
      </c>
      <c r="E928" s="151" t="s">
        <v>680</v>
      </c>
      <c r="F928" s="323" t="s">
        <v>526</v>
      </c>
      <c r="G928" s="150" t="s">
        <v>181</v>
      </c>
      <c r="H928" s="324">
        <f>H930</f>
        <v>4</v>
      </c>
      <c r="I928" s="91"/>
      <c r="J928" s="155">
        <f t="shared" si="54"/>
        <v>0</v>
      </c>
      <c r="K928" s="152"/>
    </row>
    <row r="929" spans="2:15" s="11" customFormat="1">
      <c r="B929" s="141"/>
      <c r="D929" s="142" t="s">
        <v>95</v>
      </c>
      <c r="F929" s="144" t="s">
        <v>2359</v>
      </c>
      <c r="H929" s="145">
        <f>(1+1+1+1)</f>
        <v>4</v>
      </c>
      <c r="O929" s="1"/>
    </row>
    <row r="930" spans="2:15" s="12" customFormat="1">
      <c r="B930" s="146"/>
      <c r="D930" s="142" t="s">
        <v>95</v>
      </c>
      <c r="E930" s="342" t="s">
        <v>2</v>
      </c>
      <c r="F930" s="343" t="s">
        <v>96</v>
      </c>
      <c r="H930" s="149">
        <f>SUM(H929:H929)</f>
        <v>4</v>
      </c>
      <c r="O930" s="1"/>
    </row>
    <row r="931" spans="2:15" s="349" customFormat="1" ht="22.9" customHeight="1">
      <c r="B931" s="348"/>
      <c r="C931" s="150">
        <f>C928+1</f>
        <v>196</v>
      </c>
      <c r="D931" s="150" t="s">
        <v>123</v>
      </c>
      <c r="E931" s="151" t="s">
        <v>682</v>
      </c>
      <c r="F931" s="323" t="s">
        <v>1810</v>
      </c>
      <c r="G931" s="150" t="s">
        <v>265</v>
      </c>
      <c r="H931" s="324">
        <f>H933</f>
        <v>4</v>
      </c>
      <c r="I931" s="91"/>
      <c r="J931" s="155">
        <f t="shared" si="54"/>
        <v>0</v>
      </c>
      <c r="K931" s="152"/>
    </row>
    <row r="932" spans="2:15" s="11" customFormat="1">
      <c r="B932" s="141"/>
      <c r="D932" s="142" t="s">
        <v>95</v>
      </c>
      <c r="F932" s="144" t="s">
        <v>2360</v>
      </c>
      <c r="H932" s="145">
        <f>(1+1+1+1)</f>
        <v>4</v>
      </c>
      <c r="O932" s="1"/>
    </row>
    <row r="933" spans="2:15" s="12" customFormat="1">
      <c r="B933" s="146"/>
      <c r="D933" s="142" t="s">
        <v>95</v>
      </c>
      <c r="E933" s="342" t="s">
        <v>2</v>
      </c>
      <c r="F933" s="343" t="s">
        <v>96</v>
      </c>
      <c r="H933" s="149">
        <f>SUM(H932:H932)</f>
        <v>4</v>
      </c>
      <c r="O933" s="1"/>
    </row>
    <row r="934" spans="2:15" s="349" customFormat="1" ht="22.9" customHeight="1">
      <c r="B934" s="348"/>
      <c r="C934" s="150">
        <f>C931+1</f>
        <v>197</v>
      </c>
      <c r="D934" s="150" t="s">
        <v>123</v>
      </c>
      <c r="E934" s="151" t="s">
        <v>683</v>
      </c>
      <c r="F934" s="323" t="s">
        <v>527</v>
      </c>
      <c r="G934" s="150" t="s">
        <v>265</v>
      </c>
      <c r="H934" s="324">
        <f>H936</f>
        <v>8</v>
      </c>
      <c r="I934" s="91"/>
      <c r="J934" s="155">
        <f t="shared" si="54"/>
        <v>0</v>
      </c>
      <c r="K934" s="152"/>
    </row>
    <row r="935" spans="2:15" s="11" customFormat="1">
      <c r="B935" s="141"/>
      <c r="D935" s="142" t="s">
        <v>95</v>
      </c>
      <c r="F935" s="144" t="s">
        <v>2361</v>
      </c>
      <c r="H935" s="145">
        <f>2+2+2+2</f>
        <v>8</v>
      </c>
      <c r="O935" s="1"/>
    </row>
    <row r="936" spans="2:15" s="12" customFormat="1">
      <c r="B936" s="146"/>
      <c r="D936" s="142" t="s">
        <v>95</v>
      </c>
      <c r="E936" s="342" t="s">
        <v>2</v>
      </c>
      <c r="F936" s="343" t="s">
        <v>96</v>
      </c>
      <c r="H936" s="149">
        <f>SUM(H935:H935)</f>
        <v>8</v>
      </c>
      <c r="O936" s="1"/>
    </row>
    <row r="937" spans="2:15" s="349" customFormat="1" ht="22.9" customHeight="1">
      <c r="B937" s="348"/>
      <c r="C937" s="150">
        <f>C934+1</f>
        <v>198</v>
      </c>
      <c r="D937" s="150" t="s">
        <v>123</v>
      </c>
      <c r="E937" s="151" t="s">
        <v>684</v>
      </c>
      <c r="F937" s="323" t="s">
        <v>531</v>
      </c>
      <c r="G937" s="150" t="s">
        <v>265</v>
      </c>
      <c r="H937" s="324">
        <f>H939</f>
        <v>8</v>
      </c>
      <c r="I937" s="91"/>
      <c r="J937" s="155">
        <f t="shared" si="54"/>
        <v>0</v>
      </c>
      <c r="K937" s="152"/>
    </row>
    <row r="938" spans="2:15" s="11" customFormat="1">
      <c r="B938" s="141"/>
      <c r="D938" s="142" t="s">
        <v>95</v>
      </c>
      <c r="F938" s="144" t="s">
        <v>2361</v>
      </c>
      <c r="H938" s="145">
        <f>2+2+2+2</f>
        <v>8</v>
      </c>
      <c r="O938" s="1"/>
    </row>
    <row r="939" spans="2:15" s="12" customFormat="1">
      <c r="B939" s="146"/>
      <c r="D939" s="142" t="s">
        <v>95</v>
      </c>
      <c r="E939" s="342" t="s">
        <v>2</v>
      </c>
      <c r="F939" s="343" t="s">
        <v>96</v>
      </c>
      <c r="H939" s="149">
        <f>SUM(H938:H938)</f>
        <v>8</v>
      </c>
      <c r="O939" s="1"/>
    </row>
    <row r="940" spans="2:15" s="349" customFormat="1" ht="22.9" customHeight="1">
      <c r="B940" s="348"/>
      <c r="C940" s="150">
        <f t="shared" ref="C940" si="57">C937+1</f>
        <v>199</v>
      </c>
      <c r="D940" s="150" t="s">
        <v>123</v>
      </c>
      <c r="E940" s="151" t="s">
        <v>685</v>
      </c>
      <c r="F940" s="323" t="s">
        <v>532</v>
      </c>
      <c r="G940" s="150" t="s">
        <v>261</v>
      </c>
      <c r="H940" s="352">
        <f>SUM(J919:J939)</f>
        <v>0</v>
      </c>
      <c r="I940" s="353"/>
      <c r="J940" s="155">
        <f>ROUND(I940*H940%,2)</f>
        <v>0</v>
      </c>
      <c r="K940" s="152"/>
    </row>
    <row r="941" spans="2:15" s="163" customFormat="1" ht="22.9" customHeight="1">
      <c r="B941" s="254"/>
      <c r="C941" s="135">
        <f>C940+1</f>
        <v>200</v>
      </c>
      <c r="D941" s="135" t="s">
        <v>643</v>
      </c>
      <c r="E941" s="136" t="s">
        <v>686</v>
      </c>
      <c r="F941" s="270" t="s">
        <v>2348</v>
      </c>
      <c r="G941" s="258" t="s">
        <v>261</v>
      </c>
      <c r="H941" s="261">
        <f>SUM(J919:J940)</f>
        <v>0</v>
      </c>
      <c r="I941" s="280"/>
      <c r="J941" s="140">
        <f>ROUND(I941*H941%,2)</f>
        <v>0</v>
      </c>
      <c r="K941" s="137"/>
    </row>
    <row r="942" spans="2:15" s="10" customFormat="1" ht="29.85" customHeight="1">
      <c r="B942" s="128"/>
      <c r="D942" s="129"/>
      <c r="E942" s="248" t="s">
        <v>688</v>
      </c>
      <c r="F942" s="133" t="s">
        <v>772</v>
      </c>
      <c r="G942" s="132"/>
      <c r="J942" s="134"/>
    </row>
    <row r="943" spans="2:15" s="349" customFormat="1" ht="22.9" customHeight="1">
      <c r="B943" s="348"/>
      <c r="C943" s="150">
        <f>C941+1</f>
        <v>201</v>
      </c>
      <c r="D943" s="150" t="s">
        <v>123</v>
      </c>
      <c r="E943" s="151" t="s">
        <v>689</v>
      </c>
      <c r="F943" s="323" t="s">
        <v>2350</v>
      </c>
      <c r="G943" s="150" t="s">
        <v>155</v>
      </c>
      <c r="H943" s="325">
        <f>H945</f>
        <v>20</v>
      </c>
      <c r="I943" s="91"/>
      <c r="J943" s="155">
        <f t="shared" ref="J943:J967" si="58">ROUND(I943*H943,2)</f>
        <v>0</v>
      </c>
      <c r="K943" s="152"/>
    </row>
    <row r="944" spans="2:15" s="11" customFormat="1">
      <c r="B944" s="141"/>
      <c r="D944" s="142" t="s">
        <v>95</v>
      </c>
      <c r="F944" s="144" t="s">
        <v>2351</v>
      </c>
      <c r="H944" s="145">
        <f>(18+2)</f>
        <v>20</v>
      </c>
      <c r="O944" s="1"/>
    </row>
    <row r="945" spans="2:15" s="12" customFormat="1">
      <c r="B945" s="146"/>
      <c r="D945" s="142" t="s">
        <v>95</v>
      </c>
      <c r="E945" s="342" t="s">
        <v>2</v>
      </c>
      <c r="F945" s="343" t="s">
        <v>96</v>
      </c>
      <c r="H945" s="149">
        <f>SUM(H944:H944)</f>
        <v>20</v>
      </c>
      <c r="O945" s="1"/>
    </row>
    <row r="946" spans="2:15" s="349" customFormat="1" ht="22.9" customHeight="1">
      <c r="B946" s="348"/>
      <c r="C946" s="150">
        <f>C943+1</f>
        <v>202</v>
      </c>
      <c r="D946" s="150" t="s">
        <v>123</v>
      </c>
      <c r="E946" s="151" t="s">
        <v>690</v>
      </c>
      <c r="F946" s="323" t="s">
        <v>1811</v>
      </c>
      <c r="G946" s="150" t="s">
        <v>155</v>
      </c>
      <c r="H946" s="325">
        <f>H948</f>
        <v>16</v>
      </c>
      <c r="I946" s="91"/>
      <c r="J946" s="155">
        <f t="shared" ref="J946" si="59">ROUND(I946*H946,2)</f>
        <v>0</v>
      </c>
      <c r="K946" s="152"/>
    </row>
    <row r="947" spans="2:15" s="11" customFormat="1">
      <c r="B947" s="141"/>
      <c r="D947" s="142" t="s">
        <v>95</v>
      </c>
      <c r="F947" s="144" t="s">
        <v>1814</v>
      </c>
      <c r="H947" s="145">
        <f>16</f>
        <v>16</v>
      </c>
      <c r="O947" s="1"/>
    </row>
    <row r="948" spans="2:15" s="12" customFormat="1">
      <c r="B948" s="146"/>
      <c r="D948" s="142" t="s">
        <v>95</v>
      </c>
      <c r="E948" s="342" t="s">
        <v>2</v>
      </c>
      <c r="F948" s="343" t="s">
        <v>96</v>
      </c>
      <c r="H948" s="149">
        <f>SUM(H947:H947)</f>
        <v>16</v>
      </c>
      <c r="O948" s="1"/>
    </row>
    <row r="949" spans="2:15" s="349" customFormat="1" ht="22.9" customHeight="1">
      <c r="B949" s="348"/>
      <c r="C949" s="150">
        <f>C946+1</f>
        <v>203</v>
      </c>
      <c r="D949" s="150" t="s">
        <v>123</v>
      </c>
      <c r="E949" s="151" t="s">
        <v>691</v>
      </c>
      <c r="F949" s="323" t="s">
        <v>535</v>
      </c>
      <c r="G949" s="150" t="s">
        <v>155</v>
      </c>
      <c r="H949" s="325">
        <f>H951</f>
        <v>19</v>
      </c>
      <c r="I949" s="91"/>
      <c r="J949" s="155">
        <f t="shared" si="58"/>
        <v>0</v>
      </c>
      <c r="K949" s="152"/>
    </row>
    <row r="950" spans="2:15" s="11" customFormat="1">
      <c r="B950" s="141"/>
      <c r="D950" s="142" t="s">
        <v>95</v>
      </c>
      <c r="F950" s="144" t="s">
        <v>1815</v>
      </c>
      <c r="H950" s="145">
        <f>19</f>
        <v>19</v>
      </c>
      <c r="O950" s="1"/>
    </row>
    <row r="951" spans="2:15" s="12" customFormat="1">
      <c r="B951" s="146"/>
      <c r="D951" s="142" t="s">
        <v>95</v>
      </c>
      <c r="E951" s="342" t="s">
        <v>2</v>
      </c>
      <c r="F951" s="343" t="s">
        <v>96</v>
      </c>
      <c r="H951" s="149">
        <f>SUM(H950:H950)</f>
        <v>19</v>
      </c>
      <c r="O951" s="1"/>
    </row>
    <row r="952" spans="2:15" s="349" customFormat="1" ht="22.9" customHeight="1">
      <c r="B952" s="348"/>
      <c r="C952" s="150">
        <f>C949+1</f>
        <v>204</v>
      </c>
      <c r="D952" s="150" t="s">
        <v>123</v>
      </c>
      <c r="E952" s="151" t="s">
        <v>692</v>
      </c>
      <c r="F952" s="323" t="s">
        <v>536</v>
      </c>
      <c r="G952" s="150" t="s">
        <v>155</v>
      </c>
      <c r="H952" s="325">
        <f>H954</f>
        <v>18</v>
      </c>
      <c r="I952" s="91"/>
      <c r="J952" s="155">
        <f t="shared" si="58"/>
        <v>0</v>
      </c>
      <c r="K952" s="152"/>
    </row>
    <row r="953" spans="2:15" s="11" customFormat="1">
      <c r="B953" s="141"/>
      <c r="D953" s="142" t="s">
        <v>95</v>
      </c>
      <c r="F953" s="144" t="s">
        <v>1816</v>
      </c>
      <c r="H953" s="145">
        <f>18</f>
        <v>18</v>
      </c>
      <c r="O953" s="1"/>
    </row>
    <row r="954" spans="2:15" s="12" customFormat="1">
      <c r="B954" s="146"/>
      <c r="D954" s="142" t="s">
        <v>95</v>
      </c>
      <c r="E954" s="342" t="s">
        <v>2</v>
      </c>
      <c r="F954" s="343" t="s">
        <v>96</v>
      </c>
      <c r="H954" s="149">
        <f>SUM(H953:H953)</f>
        <v>18</v>
      </c>
      <c r="O954" s="1"/>
    </row>
    <row r="955" spans="2:15" s="349" customFormat="1" ht="22.9" customHeight="1">
      <c r="B955" s="348"/>
      <c r="C955" s="150">
        <f>C952+1</f>
        <v>205</v>
      </c>
      <c r="D955" s="150" t="s">
        <v>123</v>
      </c>
      <c r="E955" s="151" t="s">
        <v>693</v>
      </c>
      <c r="F955" s="323" t="s">
        <v>537</v>
      </c>
      <c r="G955" s="150" t="s">
        <v>155</v>
      </c>
      <c r="H955" s="325">
        <f>H957</f>
        <v>274</v>
      </c>
      <c r="I955" s="91"/>
      <c r="J955" s="155">
        <f t="shared" si="58"/>
        <v>0</v>
      </c>
      <c r="K955" s="152"/>
    </row>
    <row r="956" spans="2:15" s="11" customFormat="1">
      <c r="B956" s="141"/>
      <c r="D956" s="142" t="s">
        <v>95</v>
      </c>
      <c r="F956" s="144" t="s">
        <v>1817</v>
      </c>
      <c r="H956" s="145">
        <f>274</f>
        <v>274</v>
      </c>
      <c r="O956" s="1"/>
    </row>
    <row r="957" spans="2:15" s="12" customFormat="1">
      <c r="B957" s="146"/>
      <c r="D957" s="142" t="s">
        <v>95</v>
      </c>
      <c r="E957" s="342" t="s">
        <v>2</v>
      </c>
      <c r="F957" s="343" t="s">
        <v>96</v>
      </c>
      <c r="H957" s="149">
        <f>SUM(H956:H956)</f>
        <v>274</v>
      </c>
      <c r="O957" s="1"/>
    </row>
    <row r="958" spans="2:15" s="349" customFormat="1" ht="22.9" customHeight="1">
      <c r="B958" s="348"/>
      <c r="C958" s="150">
        <f>C955+1</f>
        <v>206</v>
      </c>
      <c r="D958" s="150" t="s">
        <v>123</v>
      </c>
      <c r="E958" s="151" t="s">
        <v>694</v>
      </c>
      <c r="F958" s="323" t="s">
        <v>538</v>
      </c>
      <c r="G958" s="150" t="s">
        <v>155</v>
      </c>
      <c r="H958" s="325">
        <f>H960</f>
        <v>182</v>
      </c>
      <c r="I958" s="91"/>
      <c r="J958" s="155">
        <f t="shared" si="58"/>
        <v>0</v>
      </c>
      <c r="K958" s="152"/>
    </row>
    <row r="959" spans="2:15" s="11" customFormat="1">
      <c r="B959" s="141"/>
      <c r="D959" s="142" t="s">
        <v>95</v>
      </c>
      <c r="F959" s="144" t="s">
        <v>1818</v>
      </c>
      <c r="H959" s="145">
        <f>182</f>
        <v>182</v>
      </c>
      <c r="O959" s="1"/>
    </row>
    <row r="960" spans="2:15" s="12" customFormat="1">
      <c r="B960" s="146"/>
      <c r="D960" s="142" t="s">
        <v>95</v>
      </c>
      <c r="E960" s="342" t="s">
        <v>2</v>
      </c>
      <c r="F960" s="343" t="s">
        <v>96</v>
      </c>
      <c r="H960" s="149">
        <f>SUM(H959:H959)</f>
        <v>182</v>
      </c>
      <c r="O960" s="1"/>
    </row>
    <row r="961" spans="2:15" s="349" customFormat="1" ht="22.9" customHeight="1">
      <c r="B961" s="348"/>
      <c r="C961" s="150">
        <f>C958+1</f>
        <v>207</v>
      </c>
      <c r="D961" s="150" t="s">
        <v>123</v>
      </c>
      <c r="E961" s="151" t="s">
        <v>695</v>
      </c>
      <c r="F961" s="323" t="s">
        <v>539</v>
      </c>
      <c r="G961" s="150" t="s">
        <v>155</v>
      </c>
      <c r="H961" s="325">
        <f>H963</f>
        <v>61</v>
      </c>
      <c r="I961" s="91"/>
      <c r="J961" s="155">
        <f t="shared" si="58"/>
        <v>0</v>
      </c>
      <c r="K961" s="152"/>
    </row>
    <row r="962" spans="2:15" s="11" customFormat="1">
      <c r="B962" s="141"/>
      <c r="D962" s="142" t="s">
        <v>95</v>
      </c>
      <c r="F962" s="144" t="s">
        <v>1819</v>
      </c>
      <c r="H962" s="145">
        <f>61</f>
        <v>61</v>
      </c>
      <c r="O962" s="1"/>
    </row>
    <row r="963" spans="2:15" s="12" customFormat="1">
      <c r="B963" s="146"/>
      <c r="D963" s="142" t="s">
        <v>95</v>
      </c>
      <c r="E963" s="342" t="s">
        <v>2</v>
      </c>
      <c r="F963" s="343" t="s">
        <v>96</v>
      </c>
      <c r="H963" s="149">
        <f>SUM(H962:H962)</f>
        <v>61</v>
      </c>
      <c r="O963" s="1"/>
    </row>
    <row r="964" spans="2:15" s="349" customFormat="1" ht="22.9" customHeight="1">
      <c r="B964" s="348"/>
      <c r="C964" s="150">
        <f>C961+1</f>
        <v>208</v>
      </c>
      <c r="D964" s="150" t="s">
        <v>123</v>
      </c>
      <c r="E964" s="151" t="s">
        <v>696</v>
      </c>
      <c r="F964" s="323" t="s">
        <v>540</v>
      </c>
      <c r="G964" s="150" t="s">
        <v>155</v>
      </c>
      <c r="H964" s="325">
        <f>H966</f>
        <v>8</v>
      </c>
      <c r="I964" s="91"/>
      <c r="J964" s="155">
        <f t="shared" si="58"/>
        <v>0</v>
      </c>
      <c r="K964" s="152"/>
    </row>
    <row r="965" spans="2:15" s="11" customFormat="1">
      <c r="B965" s="141"/>
      <c r="D965" s="142" t="s">
        <v>95</v>
      </c>
      <c r="F965" s="144" t="s">
        <v>1820</v>
      </c>
      <c r="H965" s="145">
        <f>8</f>
        <v>8</v>
      </c>
      <c r="O965" s="1"/>
    </row>
    <row r="966" spans="2:15" s="12" customFormat="1">
      <c r="B966" s="146"/>
      <c r="D966" s="142" t="s">
        <v>95</v>
      </c>
      <c r="E966" s="342" t="s">
        <v>2</v>
      </c>
      <c r="F966" s="343" t="s">
        <v>96</v>
      </c>
      <c r="H966" s="149">
        <f>SUM(H965:H965)</f>
        <v>8</v>
      </c>
      <c r="O966" s="1"/>
    </row>
    <row r="967" spans="2:15" s="349" customFormat="1" ht="22.9" customHeight="1">
      <c r="B967" s="348"/>
      <c r="C967" s="150">
        <f>C964+1</f>
        <v>209</v>
      </c>
      <c r="D967" s="150" t="s">
        <v>123</v>
      </c>
      <c r="E967" s="151" t="s">
        <v>697</v>
      </c>
      <c r="F967" s="323" t="s">
        <v>541</v>
      </c>
      <c r="G967" s="150" t="s">
        <v>155</v>
      </c>
      <c r="H967" s="325">
        <f>H969</f>
        <v>20</v>
      </c>
      <c r="I967" s="91"/>
      <c r="J967" s="155">
        <f t="shared" si="58"/>
        <v>0</v>
      </c>
      <c r="K967" s="152"/>
    </row>
    <row r="968" spans="2:15" s="11" customFormat="1">
      <c r="B968" s="141"/>
      <c r="D968" s="142" t="s">
        <v>95</v>
      </c>
      <c r="F968" s="144" t="s">
        <v>1821</v>
      </c>
      <c r="H968" s="145">
        <f>20</f>
        <v>20</v>
      </c>
      <c r="O968" s="1"/>
    </row>
    <row r="969" spans="2:15" s="12" customFormat="1">
      <c r="B969" s="146"/>
      <c r="D969" s="142" t="s">
        <v>95</v>
      </c>
      <c r="E969" s="342" t="s">
        <v>2</v>
      </c>
      <c r="F969" s="343" t="s">
        <v>96</v>
      </c>
      <c r="H969" s="149">
        <f>SUM(H968:H968)</f>
        <v>20</v>
      </c>
      <c r="O969" s="1"/>
    </row>
    <row r="970" spans="2:15" s="165" customFormat="1" ht="27">
      <c r="B970" s="262"/>
      <c r="C970" s="150">
        <f>C967+1</f>
        <v>210</v>
      </c>
      <c r="D970" s="150" t="s">
        <v>123</v>
      </c>
      <c r="E970" s="151" t="s">
        <v>698</v>
      </c>
      <c r="F970" s="329" t="s">
        <v>1826</v>
      </c>
      <c r="G970" s="150" t="s">
        <v>265</v>
      </c>
      <c r="H970" s="325">
        <f>H974</f>
        <v>6</v>
      </c>
      <c r="I970" s="91"/>
      <c r="J970" s="155">
        <f t="shared" ref="J970" si="60">ROUND(I970*H970,2)</f>
        <v>0</v>
      </c>
      <c r="K970" s="152"/>
      <c r="O970" s="310"/>
    </row>
    <row r="971" spans="2:15" s="11" customFormat="1">
      <c r="B971" s="141"/>
      <c r="D971" s="142" t="s">
        <v>95</v>
      </c>
      <c r="F971" s="144" t="s">
        <v>1852</v>
      </c>
      <c r="H971" s="145">
        <f>1</f>
        <v>1</v>
      </c>
      <c r="K971" s="331"/>
      <c r="O971" s="1"/>
    </row>
    <row r="972" spans="2:15" s="11" customFormat="1">
      <c r="B972" s="141"/>
      <c r="D972" s="142" t="s">
        <v>95</v>
      </c>
      <c r="F972" s="144" t="s">
        <v>1856</v>
      </c>
      <c r="H972" s="145">
        <f>2</f>
        <v>2</v>
      </c>
      <c r="K972" s="331"/>
      <c r="O972" s="1"/>
    </row>
    <row r="973" spans="2:15" s="11" customFormat="1">
      <c r="B973" s="141"/>
      <c r="D973" s="142" t="s">
        <v>95</v>
      </c>
      <c r="F973" s="144" t="s">
        <v>1857</v>
      </c>
      <c r="H973" s="145">
        <f>(2+1)</f>
        <v>3</v>
      </c>
      <c r="K973" s="331"/>
      <c r="O973" s="1"/>
    </row>
    <row r="974" spans="2:15" s="12" customFormat="1">
      <c r="B974" s="146"/>
      <c r="D974" s="142" t="s">
        <v>95</v>
      </c>
      <c r="E974" s="342" t="s">
        <v>2</v>
      </c>
      <c r="F974" s="343" t="s">
        <v>96</v>
      </c>
      <c r="H974" s="149">
        <f>SUM(H971:H973)</f>
        <v>6</v>
      </c>
      <c r="K974" s="331"/>
      <c r="O974" s="1"/>
    </row>
    <row r="975" spans="2:15" s="165" customFormat="1" ht="27">
      <c r="B975" s="262"/>
      <c r="C975" s="150">
        <f>C970+1</f>
        <v>211</v>
      </c>
      <c r="D975" s="150" t="s">
        <v>123</v>
      </c>
      <c r="E975" s="151" t="s">
        <v>699</v>
      </c>
      <c r="F975" s="329" t="s">
        <v>1825</v>
      </c>
      <c r="G975" s="150" t="s">
        <v>265</v>
      </c>
      <c r="H975" s="325">
        <f>H979</f>
        <v>5</v>
      </c>
      <c r="I975" s="91"/>
      <c r="J975" s="155">
        <f t="shared" ref="J975" si="61">ROUND(I975*H975,2)</f>
        <v>0</v>
      </c>
      <c r="K975" s="152"/>
      <c r="O975" s="310"/>
    </row>
    <row r="976" spans="2:15" s="11" customFormat="1">
      <c r="B976" s="141"/>
      <c r="D976" s="142" t="s">
        <v>95</v>
      </c>
      <c r="F976" s="144" t="s">
        <v>1852</v>
      </c>
      <c r="H976" s="145">
        <f>1</f>
        <v>1</v>
      </c>
      <c r="K976" s="331"/>
      <c r="O976" s="1"/>
    </row>
    <row r="977" spans="2:15" s="11" customFormat="1">
      <c r="B977" s="141"/>
      <c r="D977" s="142" t="s">
        <v>95</v>
      </c>
      <c r="F977" s="144" t="s">
        <v>1851</v>
      </c>
      <c r="H977" s="145">
        <f>1</f>
        <v>1</v>
      </c>
      <c r="K977" s="331"/>
      <c r="O977" s="1"/>
    </row>
    <row r="978" spans="2:15" s="11" customFormat="1">
      <c r="B978" s="141"/>
      <c r="D978" s="142" t="s">
        <v>95</v>
      </c>
      <c r="F978" s="144" t="s">
        <v>1855</v>
      </c>
      <c r="H978" s="145">
        <f>(1+1+1)</f>
        <v>3</v>
      </c>
      <c r="K978" s="331"/>
      <c r="O978" s="1"/>
    </row>
    <row r="979" spans="2:15" s="12" customFormat="1">
      <c r="B979" s="146"/>
      <c r="D979" s="142" t="s">
        <v>95</v>
      </c>
      <c r="E979" s="342" t="s">
        <v>2</v>
      </c>
      <c r="F979" s="343" t="s">
        <v>96</v>
      </c>
      <c r="H979" s="149">
        <f>SUM(H976:H978)</f>
        <v>5</v>
      </c>
      <c r="K979" s="331"/>
      <c r="O979" s="1"/>
    </row>
    <row r="980" spans="2:15" s="165" customFormat="1" ht="27">
      <c r="B980" s="262"/>
      <c r="C980" s="150">
        <f>C975+1</f>
        <v>212</v>
      </c>
      <c r="D980" s="150" t="s">
        <v>123</v>
      </c>
      <c r="E980" s="151" t="s">
        <v>700</v>
      </c>
      <c r="F980" s="329" t="s">
        <v>1827</v>
      </c>
      <c r="G980" s="150" t="s">
        <v>265</v>
      </c>
      <c r="H980" s="325">
        <f>H982</f>
        <v>1</v>
      </c>
      <c r="I980" s="91"/>
      <c r="J980" s="155">
        <f t="shared" ref="J980" si="62">ROUND(I980*H980,2)</f>
        <v>0</v>
      </c>
      <c r="K980" s="152"/>
      <c r="O980" s="310"/>
    </row>
    <row r="981" spans="2:15" s="11" customFormat="1">
      <c r="B981" s="141"/>
      <c r="D981" s="142" t="s">
        <v>95</v>
      </c>
      <c r="F981" s="144" t="s">
        <v>1854</v>
      </c>
      <c r="H981" s="145">
        <f>1</f>
        <v>1</v>
      </c>
      <c r="K981" s="331"/>
      <c r="O981" s="1"/>
    </row>
    <row r="982" spans="2:15" s="12" customFormat="1">
      <c r="B982" s="146"/>
      <c r="D982" s="142" t="s">
        <v>95</v>
      </c>
      <c r="E982" s="342" t="s">
        <v>2</v>
      </c>
      <c r="F982" s="343" t="s">
        <v>96</v>
      </c>
      <c r="H982" s="149">
        <f>SUM(H981:H981)</f>
        <v>1</v>
      </c>
      <c r="K982" s="331"/>
      <c r="O982" s="1"/>
    </row>
    <row r="983" spans="2:15" s="165" customFormat="1" ht="27">
      <c r="B983" s="262"/>
      <c r="C983" s="150">
        <f>C980+1</f>
        <v>213</v>
      </c>
      <c r="D983" s="150" t="s">
        <v>123</v>
      </c>
      <c r="E983" s="151" t="s">
        <v>701</v>
      </c>
      <c r="F983" s="329" t="s">
        <v>1828</v>
      </c>
      <c r="G983" s="150" t="s">
        <v>265</v>
      </c>
      <c r="H983" s="325">
        <f>H985</f>
        <v>14</v>
      </c>
      <c r="I983" s="91"/>
      <c r="J983" s="155">
        <f t="shared" ref="J983" si="63">ROUND(I983*H983,2)</f>
        <v>0</v>
      </c>
      <c r="K983" s="152"/>
      <c r="O983" s="310"/>
    </row>
    <row r="984" spans="2:15" s="11" customFormat="1">
      <c r="B984" s="141"/>
      <c r="D984" s="142" t="s">
        <v>95</v>
      </c>
      <c r="F984" s="144" t="s">
        <v>1853</v>
      </c>
      <c r="H984" s="145">
        <f>14</f>
        <v>14</v>
      </c>
      <c r="K984" s="331"/>
      <c r="O984" s="1"/>
    </row>
    <row r="985" spans="2:15" s="12" customFormat="1">
      <c r="B985" s="146"/>
      <c r="D985" s="142" t="s">
        <v>95</v>
      </c>
      <c r="E985" s="342" t="s">
        <v>2</v>
      </c>
      <c r="F985" s="343" t="s">
        <v>96</v>
      </c>
      <c r="H985" s="149">
        <f>SUM(H984:H984)</f>
        <v>14</v>
      </c>
      <c r="K985" s="331"/>
      <c r="O985" s="1"/>
    </row>
    <row r="986" spans="2:15" s="165" customFormat="1" ht="22.9" customHeight="1">
      <c r="B986" s="262"/>
      <c r="C986" s="150">
        <f>C983+1</f>
        <v>214</v>
      </c>
      <c r="D986" s="150" t="s">
        <v>123</v>
      </c>
      <c r="E986" s="151" t="s">
        <v>702</v>
      </c>
      <c r="F986" s="323" t="s">
        <v>1176</v>
      </c>
      <c r="G986" s="150" t="s">
        <v>265</v>
      </c>
      <c r="H986" s="325">
        <f>H988</f>
        <v>2</v>
      </c>
      <c r="I986" s="91"/>
      <c r="J986" s="155">
        <f t="shared" ref="J986:J1000" si="64">ROUND(I986*H986,2)</f>
        <v>0</v>
      </c>
      <c r="K986" s="152"/>
      <c r="O986" s="310"/>
    </row>
    <row r="987" spans="2:15" s="11" customFormat="1">
      <c r="B987" s="141"/>
      <c r="D987" s="142" t="s">
        <v>95</v>
      </c>
      <c r="F987" s="144" t="s">
        <v>1154</v>
      </c>
      <c r="H987" s="145">
        <f>2</f>
        <v>2</v>
      </c>
      <c r="K987" s="331"/>
      <c r="O987" s="1"/>
    </row>
    <row r="988" spans="2:15" s="12" customFormat="1">
      <c r="B988" s="146"/>
      <c r="D988" s="142" t="s">
        <v>95</v>
      </c>
      <c r="E988" s="342" t="s">
        <v>2</v>
      </c>
      <c r="F988" s="343" t="s">
        <v>96</v>
      </c>
      <c r="H988" s="149">
        <f>SUM(H987:H987)</f>
        <v>2</v>
      </c>
      <c r="K988" s="331"/>
      <c r="O988" s="1"/>
    </row>
    <row r="989" spans="2:15" s="165" customFormat="1" ht="22.9" customHeight="1">
      <c r="B989" s="262"/>
      <c r="C989" s="150">
        <f>C986+1</f>
        <v>215</v>
      </c>
      <c r="D989" s="150" t="s">
        <v>123</v>
      </c>
      <c r="E989" s="151" t="s">
        <v>703</v>
      </c>
      <c r="F989" s="323" t="s">
        <v>1177</v>
      </c>
      <c r="G989" s="150" t="s">
        <v>265</v>
      </c>
      <c r="H989" s="325">
        <f>H991</f>
        <v>2</v>
      </c>
      <c r="I989" s="91"/>
      <c r="J989" s="155">
        <f t="shared" si="64"/>
        <v>0</v>
      </c>
      <c r="K989" s="152"/>
      <c r="O989" s="310"/>
    </row>
    <row r="990" spans="2:15" s="11" customFormat="1">
      <c r="B990" s="141"/>
      <c r="D990" s="142" t="s">
        <v>95</v>
      </c>
      <c r="F990" s="144" t="s">
        <v>1154</v>
      </c>
      <c r="H990" s="145">
        <f>2</f>
        <v>2</v>
      </c>
      <c r="K990" s="331"/>
      <c r="O990" s="1"/>
    </row>
    <row r="991" spans="2:15" s="12" customFormat="1">
      <c r="B991" s="146"/>
      <c r="D991" s="142" t="s">
        <v>95</v>
      </c>
      <c r="E991" s="342" t="s">
        <v>2</v>
      </c>
      <c r="F991" s="343" t="s">
        <v>96</v>
      </c>
      <c r="H991" s="149">
        <f>SUM(H990:H990)</f>
        <v>2</v>
      </c>
      <c r="K991" s="331"/>
      <c r="O991" s="1"/>
    </row>
    <row r="992" spans="2:15" s="165" customFormat="1" ht="22.9" customHeight="1">
      <c r="B992" s="262"/>
      <c r="C992" s="150">
        <f>C989+1</f>
        <v>216</v>
      </c>
      <c r="D992" s="150" t="s">
        <v>123</v>
      </c>
      <c r="E992" s="151" t="s">
        <v>704</v>
      </c>
      <c r="F992" s="323" t="s">
        <v>542</v>
      </c>
      <c r="G992" s="150" t="s">
        <v>265</v>
      </c>
      <c r="H992" s="325">
        <f>H994</f>
        <v>1</v>
      </c>
      <c r="I992" s="91"/>
      <c r="J992" s="155">
        <f t="shared" si="64"/>
        <v>0</v>
      </c>
      <c r="K992" s="152"/>
      <c r="O992" s="310"/>
    </row>
    <row r="993" spans="2:15" s="11" customFormat="1">
      <c r="B993" s="141"/>
      <c r="D993" s="142" t="s">
        <v>95</v>
      </c>
      <c r="F993" s="144" t="s">
        <v>1151</v>
      </c>
      <c r="H993" s="145">
        <f>1</f>
        <v>1</v>
      </c>
      <c r="K993" s="331"/>
      <c r="O993" s="1"/>
    </row>
    <row r="994" spans="2:15" s="12" customFormat="1">
      <c r="B994" s="146"/>
      <c r="D994" s="142" t="s">
        <v>95</v>
      </c>
      <c r="E994" s="342" t="s">
        <v>2</v>
      </c>
      <c r="F994" s="343" t="s">
        <v>96</v>
      </c>
      <c r="H994" s="149">
        <f>SUM(H993:H993)</f>
        <v>1</v>
      </c>
      <c r="K994" s="331"/>
      <c r="O994" s="1"/>
    </row>
    <row r="995" spans="2:15" s="165" customFormat="1" ht="22.9" customHeight="1">
      <c r="B995" s="262"/>
      <c r="C995" s="150">
        <f>C992+1</f>
        <v>217</v>
      </c>
      <c r="D995" s="150" t="s">
        <v>123</v>
      </c>
      <c r="E995" s="151" t="s">
        <v>705</v>
      </c>
      <c r="F995" s="323" t="s">
        <v>1179</v>
      </c>
      <c r="G995" s="150" t="s">
        <v>265</v>
      </c>
      <c r="H995" s="325">
        <f>H999</f>
        <v>3</v>
      </c>
      <c r="I995" s="91"/>
      <c r="J995" s="155">
        <f t="shared" si="64"/>
        <v>0</v>
      </c>
      <c r="K995" s="152"/>
      <c r="O995" s="310"/>
    </row>
    <row r="996" spans="2:15" s="11" customFormat="1">
      <c r="B996" s="141"/>
      <c r="D996" s="142" t="s">
        <v>95</v>
      </c>
      <c r="F996" s="144" t="s">
        <v>1852</v>
      </c>
      <c r="H996" s="145">
        <f>1</f>
        <v>1</v>
      </c>
      <c r="K996" s="331"/>
      <c r="O996" s="1"/>
    </row>
    <row r="997" spans="2:15" s="11" customFormat="1">
      <c r="B997" s="141"/>
      <c r="D997" s="142" t="s">
        <v>95</v>
      </c>
      <c r="F997" s="144" t="s">
        <v>1851</v>
      </c>
      <c r="H997" s="145">
        <f>1</f>
        <v>1</v>
      </c>
      <c r="K997" s="331"/>
      <c r="O997" s="1"/>
    </row>
    <row r="998" spans="2:15" s="11" customFormat="1">
      <c r="B998" s="141"/>
      <c r="D998" s="142" t="s">
        <v>95</v>
      </c>
      <c r="F998" s="144" t="s">
        <v>1850</v>
      </c>
      <c r="H998" s="145">
        <f>1</f>
        <v>1</v>
      </c>
      <c r="K998" s="331"/>
      <c r="O998" s="1"/>
    </row>
    <row r="999" spans="2:15" s="12" customFormat="1">
      <c r="B999" s="146"/>
      <c r="D999" s="142" t="s">
        <v>95</v>
      </c>
      <c r="E999" s="342" t="s">
        <v>2</v>
      </c>
      <c r="F999" s="343" t="s">
        <v>96</v>
      </c>
      <c r="H999" s="149">
        <f>SUM(H996:H998)</f>
        <v>3</v>
      </c>
      <c r="K999" s="331"/>
      <c r="O999" s="1"/>
    </row>
    <row r="1000" spans="2:15" s="165" customFormat="1" ht="22.9" customHeight="1">
      <c r="B1000" s="262"/>
      <c r="C1000" s="150">
        <f>C995+1</f>
        <v>218</v>
      </c>
      <c r="D1000" s="150" t="s">
        <v>123</v>
      </c>
      <c r="E1000" s="151" t="s">
        <v>706</v>
      </c>
      <c r="F1000" s="323" t="s">
        <v>1180</v>
      </c>
      <c r="G1000" s="150" t="s">
        <v>265</v>
      </c>
      <c r="H1000" s="325">
        <f>H1002</f>
        <v>6</v>
      </c>
      <c r="I1000" s="91"/>
      <c r="J1000" s="155">
        <f t="shared" si="64"/>
        <v>0</v>
      </c>
      <c r="K1000" s="152"/>
      <c r="O1000" s="310"/>
    </row>
    <row r="1001" spans="2:15" s="11" customFormat="1">
      <c r="B1001" s="141"/>
      <c r="D1001" s="142" t="s">
        <v>95</v>
      </c>
      <c r="F1001" s="144" t="s">
        <v>1849</v>
      </c>
      <c r="H1001" s="145">
        <f>6</f>
        <v>6</v>
      </c>
      <c r="K1001" s="331"/>
      <c r="O1001" s="1"/>
    </row>
    <row r="1002" spans="2:15" s="12" customFormat="1">
      <c r="B1002" s="146"/>
      <c r="D1002" s="142" t="s">
        <v>95</v>
      </c>
      <c r="E1002" s="342" t="s">
        <v>2</v>
      </c>
      <c r="F1002" s="343" t="s">
        <v>96</v>
      </c>
      <c r="H1002" s="149">
        <f>SUM(H1001:H1001)</f>
        <v>6</v>
      </c>
      <c r="K1002" s="331"/>
      <c r="O1002" s="1"/>
    </row>
    <row r="1003" spans="2:15" s="165" customFormat="1" ht="22.9" customHeight="1">
      <c r="B1003" s="262"/>
      <c r="C1003" s="150">
        <f>C1000+1</f>
        <v>219</v>
      </c>
      <c r="D1003" s="150" t="s">
        <v>123</v>
      </c>
      <c r="E1003" s="151" t="s">
        <v>1830</v>
      </c>
      <c r="F1003" s="323" t="s">
        <v>1829</v>
      </c>
      <c r="G1003" s="150" t="s">
        <v>181</v>
      </c>
      <c r="H1003" s="325">
        <f>H1007</f>
        <v>4</v>
      </c>
      <c r="I1003" s="91"/>
      <c r="J1003" s="155">
        <f t="shared" ref="J1003" si="65">ROUND(I1003*H1003,2)</f>
        <v>0</v>
      </c>
      <c r="K1003" s="152"/>
      <c r="O1003" s="310"/>
    </row>
    <row r="1004" spans="2:15" s="11" customFormat="1">
      <c r="B1004" s="141"/>
      <c r="D1004" s="142" t="s">
        <v>95</v>
      </c>
      <c r="F1004" s="144" t="s">
        <v>1848</v>
      </c>
      <c r="H1004" s="145">
        <f>(1+1)</f>
        <v>2</v>
      </c>
      <c r="K1004" s="331"/>
      <c r="O1004" s="1"/>
    </row>
    <row r="1005" spans="2:15" s="11" customFormat="1">
      <c r="B1005" s="141"/>
      <c r="D1005" s="142" t="s">
        <v>95</v>
      </c>
      <c r="F1005" s="144" t="s">
        <v>1847</v>
      </c>
      <c r="H1005" s="145">
        <f>1</f>
        <v>1</v>
      </c>
      <c r="K1005" s="331"/>
      <c r="O1005" s="1"/>
    </row>
    <row r="1006" spans="2:15" s="11" customFormat="1">
      <c r="B1006" s="141"/>
      <c r="D1006" s="142" t="s">
        <v>95</v>
      </c>
      <c r="F1006" s="144" t="s">
        <v>1846</v>
      </c>
      <c r="H1006" s="145">
        <f>1</f>
        <v>1</v>
      </c>
      <c r="K1006" s="331"/>
      <c r="O1006" s="1"/>
    </row>
    <row r="1007" spans="2:15" s="12" customFormat="1">
      <c r="B1007" s="146"/>
      <c r="D1007" s="142" t="s">
        <v>95</v>
      </c>
      <c r="E1007" s="342" t="s">
        <v>2</v>
      </c>
      <c r="F1007" s="343" t="s">
        <v>96</v>
      </c>
      <c r="H1007" s="149">
        <f>SUM(H1004:H1006)</f>
        <v>4</v>
      </c>
      <c r="K1007" s="331"/>
      <c r="O1007" s="1"/>
    </row>
    <row r="1008" spans="2:15" s="165" customFormat="1" ht="22.9" customHeight="1">
      <c r="B1008" s="262"/>
      <c r="C1008" s="150">
        <f>C1003+1</f>
        <v>220</v>
      </c>
      <c r="D1008" s="150" t="s">
        <v>123</v>
      </c>
      <c r="E1008" s="151" t="s">
        <v>1831</v>
      </c>
      <c r="F1008" s="323" t="s">
        <v>547</v>
      </c>
      <c r="G1008" s="150" t="s">
        <v>265</v>
      </c>
      <c r="H1008" s="325">
        <f>H1012</f>
        <v>19</v>
      </c>
      <c r="I1008" s="91"/>
      <c r="J1008" s="155">
        <f t="shared" ref="J1008" si="66">ROUND(I1008*H1008,2)</f>
        <v>0</v>
      </c>
      <c r="K1008" s="152"/>
      <c r="O1008" s="310"/>
    </row>
    <row r="1009" spans="2:15" s="11" customFormat="1" ht="27">
      <c r="B1009" s="141"/>
      <c r="D1009" s="142" t="s">
        <v>95</v>
      </c>
      <c r="F1009" s="144" t="s">
        <v>2352</v>
      </c>
      <c r="H1009" s="145">
        <f>(2+1+3+1+1+1+1+1)</f>
        <v>11</v>
      </c>
      <c r="K1009" s="331"/>
      <c r="O1009" s="1"/>
    </row>
    <row r="1010" spans="2:15" s="11" customFormat="1">
      <c r="B1010" s="141"/>
      <c r="D1010" s="142" t="s">
        <v>95</v>
      </c>
      <c r="F1010" s="144" t="s">
        <v>1845</v>
      </c>
      <c r="H1010" s="145">
        <f>(3)</f>
        <v>3</v>
      </c>
      <c r="K1010" s="331"/>
      <c r="O1010" s="1"/>
    </row>
    <row r="1011" spans="2:15" s="11" customFormat="1" ht="27">
      <c r="B1011" s="141"/>
      <c r="D1011" s="142" t="s">
        <v>95</v>
      </c>
      <c r="F1011" s="144" t="s">
        <v>1844</v>
      </c>
      <c r="H1011" s="145">
        <f>(1+1+1+2)</f>
        <v>5</v>
      </c>
      <c r="K1011" s="331"/>
      <c r="O1011" s="1"/>
    </row>
    <row r="1012" spans="2:15" s="12" customFormat="1">
      <c r="B1012" s="146"/>
      <c r="D1012" s="142" t="s">
        <v>95</v>
      </c>
      <c r="E1012" s="342" t="s">
        <v>2</v>
      </c>
      <c r="F1012" s="343" t="s">
        <v>96</v>
      </c>
      <c r="H1012" s="149">
        <f>SUM(H1009:H1011)</f>
        <v>19</v>
      </c>
      <c r="K1012" s="331"/>
      <c r="O1012" s="1"/>
    </row>
    <row r="1013" spans="2:15" s="165" customFormat="1" ht="27">
      <c r="B1013" s="262"/>
      <c r="C1013" s="150">
        <f>C1008+1</f>
        <v>221</v>
      </c>
      <c r="D1013" s="150" t="s">
        <v>123</v>
      </c>
      <c r="E1013" s="151" t="s">
        <v>1833</v>
      </c>
      <c r="F1013" s="329" t="s">
        <v>1832</v>
      </c>
      <c r="G1013" s="150" t="s">
        <v>265</v>
      </c>
      <c r="H1013" s="325">
        <f>H1015</f>
        <v>1</v>
      </c>
      <c r="I1013" s="91"/>
      <c r="J1013" s="155">
        <f t="shared" ref="J1013" si="67">ROUND(I1013*H1013,2)</f>
        <v>0</v>
      </c>
      <c r="K1013" s="152"/>
      <c r="O1013" s="310"/>
    </row>
    <row r="1014" spans="2:15" s="11" customFormat="1">
      <c r="B1014" s="141"/>
      <c r="D1014" s="142" t="s">
        <v>95</v>
      </c>
      <c r="F1014" s="144" t="s">
        <v>1843</v>
      </c>
      <c r="H1014" s="145">
        <f>1</f>
        <v>1</v>
      </c>
      <c r="K1014" s="331"/>
      <c r="O1014" s="1"/>
    </row>
    <row r="1015" spans="2:15" s="12" customFormat="1">
      <c r="B1015" s="146"/>
      <c r="D1015" s="142" t="s">
        <v>95</v>
      </c>
      <c r="E1015" s="342" t="s">
        <v>2</v>
      </c>
      <c r="F1015" s="343" t="s">
        <v>96</v>
      </c>
      <c r="H1015" s="149">
        <f>SUM(H1014:H1014)</f>
        <v>1</v>
      </c>
      <c r="K1015" s="331"/>
      <c r="O1015" s="1"/>
    </row>
    <row r="1016" spans="2:15" s="165" customFormat="1" ht="22.9" customHeight="1">
      <c r="B1016" s="262"/>
      <c r="C1016" s="150">
        <f>C1013+1</f>
        <v>222</v>
      </c>
      <c r="D1016" s="150" t="s">
        <v>123</v>
      </c>
      <c r="E1016" s="151" t="s">
        <v>1835</v>
      </c>
      <c r="F1016" s="323" t="s">
        <v>546</v>
      </c>
      <c r="G1016" s="150" t="s">
        <v>265</v>
      </c>
      <c r="H1016" s="325">
        <f>H1020</f>
        <v>15</v>
      </c>
      <c r="I1016" s="91"/>
      <c r="J1016" s="155">
        <f t="shared" ref="J1016" si="68">ROUND(I1016*H1016,2)</f>
        <v>0</v>
      </c>
      <c r="K1016" s="152"/>
      <c r="O1016" s="310"/>
    </row>
    <row r="1017" spans="2:15" s="11" customFormat="1">
      <c r="B1017" s="141"/>
      <c r="D1017" s="142" t="s">
        <v>95</v>
      </c>
      <c r="F1017" s="144" t="s">
        <v>1899</v>
      </c>
      <c r="H1017" s="145">
        <f>(2+1+2)</f>
        <v>5</v>
      </c>
      <c r="K1017" s="331"/>
      <c r="O1017" s="1"/>
    </row>
    <row r="1018" spans="2:15" s="11" customFormat="1">
      <c r="B1018" s="141"/>
      <c r="D1018" s="142" t="s">
        <v>95</v>
      </c>
      <c r="F1018" s="144" t="s">
        <v>1900</v>
      </c>
      <c r="H1018" s="145">
        <f>(2)</f>
        <v>2</v>
      </c>
      <c r="K1018" s="331"/>
      <c r="O1018" s="1"/>
    </row>
    <row r="1019" spans="2:15" s="11" customFormat="1" ht="27">
      <c r="B1019" s="141"/>
      <c r="D1019" s="142" t="s">
        <v>95</v>
      </c>
      <c r="F1019" s="144" t="s">
        <v>1904</v>
      </c>
      <c r="H1019" s="145">
        <f>(3+1+4)</f>
        <v>8</v>
      </c>
      <c r="K1019" s="331"/>
      <c r="O1019" s="1"/>
    </row>
    <row r="1020" spans="2:15" s="12" customFormat="1">
      <c r="B1020" s="146"/>
      <c r="D1020" s="142" t="s">
        <v>95</v>
      </c>
      <c r="E1020" s="342" t="s">
        <v>2</v>
      </c>
      <c r="F1020" s="343" t="s">
        <v>96</v>
      </c>
      <c r="H1020" s="149">
        <f>SUM(H1017:H1019)</f>
        <v>15</v>
      </c>
      <c r="K1020" s="331"/>
      <c r="O1020" s="1"/>
    </row>
    <row r="1021" spans="2:15" s="165" customFormat="1" ht="22.9" customHeight="1">
      <c r="B1021" s="262"/>
      <c r="C1021" s="150">
        <f>C1016+1</f>
        <v>223</v>
      </c>
      <c r="D1021" s="150" t="s">
        <v>123</v>
      </c>
      <c r="E1021" s="151" t="s">
        <v>1836</v>
      </c>
      <c r="F1021" s="323" t="s">
        <v>1902</v>
      </c>
      <c r="G1021" s="150" t="s">
        <v>265</v>
      </c>
      <c r="H1021" s="325">
        <f>H1023</f>
        <v>11</v>
      </c>
      <c r="I1021" s="91"/>
      <c r="J1021" s="155">
        <f t="shared" ref="J1021" si="69">ROUND(I1021*H1021,2)</f>
        <v>0</v>
      </c>
      <c r="K1021" s="152"/>
      <c r="O1021" s="310"/>
    </row>
    <row r="1022" spans="2:15" s="11" customFormat="1">
      <c r="B1022" s="141"/>
      <c r="D1022" s="142" t="s">
        <v>95</v>
      </c>
      <c r="F1022" s="144" t="s">
        <v>2310</v>
      </c>
      <c r="H1022" s="145">
        <f>(11)</f>
        <v>11</v>
      </c>
      <c r="K1022" s="331"/>
      <c r="O1022" s="1"/>
    </row>
    <row r="1023" spans="2:15" s="12" customFormat="1">
      <c r="B1023" s="146"/>
      <c r="D1023" s="142" t="s">
        <v>95</v>
      </c>
      <c r="E1023" s="342" t="s">
        <v>2</v>
      </c>
      <c r="F1023" s="343" t="s">
        <v>96</v>
      </c>
      <c r="H1023" s="149">
        <f>SUM(H1022:H1022)</f>
        <v>11</v>
      </c>
      <c r="K1023" s="331"/>
      <c r="O1023" s="1"/>
    </row>
    <row r="1024" spans="2:15" s="165" customFormat="1" ht="22.9" customHeight="1">
      <c r="B1024" s="262"/>
      <c r="C1024" s="150">
        <f>C1021+1</f>
        <v>224</v>
      </c>
      <c r="D1024" s="150" t="s">
        <v>123</v>
      </c>
      <c r="E1024" s="151" t="s">
        <v>1837</v>
      </c>
      <c r="F1024" s="323" t="s">
        <v>1906</v>
      </c>
      <c r="G1024" s="150" t="s">
        <v>265</v>
      </c>
      <c r="H1024" s="325">
        <f>H1028</f>
        <v>34</v>
      </c>
      <c r="I1024" s="91"/>
      <c r="J1024" s="155">
        <f t="shared" ref="J1024" si="70">ROUND(I1024*H1024,2)</f>
        <v>0</v>
      </c>
      <c r="K1024" s="152"/>
      <c r="O1024" s="310"/>
    </row>
    <row r="1025" spans="2:15" s="11" customFormat="1" ht="27">
      <c r="B1025" s="141"/>
      <c r="D1025" s="142" t="s">
        <v>95</v>
      </c>
      <c r="F1025" s="144" t="s">
        <v>2353</v>
      </c>
      <c r="H1025" s="145">
        <f>(1+1+1+1)</f>
        <v>4</v>
      </c>
      <c r="K1025" s="331"/>
      <c r="O1025" s="1"/>
    </row>
    <row r="1026" spans="2:15" s="11" customFormat="1">
      <c r="B1026" s="141"/>
      <c r="D1026" s="142" t="s">
        <v>95</v>
      </c>
      <c r="F1026" s="144" t="s">
        <v>1903</v>
      </c>
      <c r="H1026" s="145">
        <f>(1)</f>
        <v>1</v>
      </c>
      <c r="K1026" s="331"/>
      <c r="O1026" s="1"/>
    </row>
    <row r="1027" spans="2:15" s="11" customFormat="1" ht="27">
      <c r="B1027" s="141"/>
      <c r="D1027" s="142" t="s">
        <v>95</v>
      </c>
      <c r="F1027" s="144" t="s">
        <v>1905</v>
      </c>
      <c r="H1027" s="145">
        <f>(1+5+23)</f>
        <v>29</v>
      </c>
      <c r="K1027" s="331"/>
      <c r="O1027" s="1"/>
    </row>
    <row r="1028" spans="2:15" s="12" customFormat="1">
      <c r="B1028" s="146"/>
      <c r="D1028" s="142" t="s">
        <v>95</v>
      </c>
      <c r="E1028" s="147" t="s">
        <v>2</v>
      </c>
      <c r="F1028" s="148" t="s">
        <v>96</v>
      </c>
      <c r="H1028" s="149">
        <f>SUM(H1025:H1027)</f>
        <v>34</v>
      </c>
      <c r="K1028" s="331"/>
      <c r="O1028" s="1"/>
    </row>
    <row r="1029" spans="2:15" s="165" customFormat="1" ht="27">
      <c r="B1029" s="262"/>
      <c r="C1029" s="150">
        <f>C1024+1</f>
        <v>225</v>
      </c>
      <c r="D1029" s="150" t="s">
        <v>123</v>
      </c>
      <c r="E1029" s="151" t="s">
        <v>1838</v>
      </c>
      <c r="F1029" s="329" t="s">
        <v>1907</v>
      </c>
      <c r="G1029" s="150" t="s">
        <v>265</v>
      </c>
      <c r="H1029" s="325">
        <f>H1031</f>
        <v>20</v>
      </c>
      <c r="I1029" s="91"/>
      <c r="J1029" s="155">
        <f t="shared" ref="J1029" si="71">ROUND(I1029*H1029,2)</f>
        <v>0</v>
      </c>
      <c r="K1029" s="152"/>
      <c r="O1029" s="310"/>
    </row>
    <row r="1030" spans="2:15" s="11" customFormat="1">
      <c r="B1030" s="141"/>
      <c r="D1030" s="142" t="s">
        <v>95</v>
      </c>
      <c r="F1030" s="144" t="s">
        <v>2309</v>
      </c>
      <c r="H1030" s="145">
        <f>20</f>
        <v>20</v>
      </c>
      <c r="K1030" s="331"/>
      <c r="O1030" s="1"/>
    </row>
    <row r="1031" spans="2:15" s="12" customFormat="1">
      <c r="B1031" s="146"/>
      <c r="D1031" s="142" t="s">
        <v>95</v>
      </c>
      <c r="E1031" s="342" t="s">
        <v>2</v>
      </c>
      <c r="F1031" s="343" t="s">
        <v>96</v>
      </c>
      <c r="H1031" s="149">
        <f>SUM(H1030:H1030)</f>
        <v>20</v>
      </c>
      <c r="K1031" s="331"/>
      <c r="O1031" s="1"/>
    </row>
    <row r="1032" spans="2:15" s="165" customFormat="1">
      <c r="B1032" s="262"/>
      <c r="C1032" s="150">
        <f>C1029+1</f>
        <v>226</v>
      </c>
      <c r="D1032" s="150" t="s">
        <v>123</v>
      </c>
      <c r="E1032" s="151" t="s">
        <v>1858</v>
      </c>
      <c r="F1032" s="329" t="s">
        <v>2306</v>
      </c>
      <c r="G1032" s="150" t="s">
        <v>155</v>
      </c>
      <c r="H1032" s="325">
        <f>H1034</f>
        <v>10</v>
      </c>
      <c r="I1032" s="91"/>
      <c r="J1032" s="155">
        <f t="shared" ref="J1032" si="72">ROUND(I1032*H1032,2)</f>
        <v>0</v>
      </c>
      <c r="K1032" s="152"/>
      <c r="O1032" s="310"/>
    </row>
    <row r="1033" spans="2:15" s="11" customFormat="1">
      <c r="B1033" s="141"/>
      <c r="D1033" s="142" t="s">
        <v>95</v>
      </c>
      <c r="F1033" s="144" t="s">
        <v>2307</v>
      </c>
      <c r="H1033" s="145">
        <v>10</v>
      </c>
      <c r="K1033" s="331"/>
      <c r="O1033" s="1"/>
    </row>
    <row r="1034" spans="2:15" s="12" customFormat="1">
      <c r="B1034" s="146"/>
      <c r="D1034" s="142" t="s">
        <v>95</v>
      </c>
      <c r="E1034" s="342" t="s">
        <v>2</v>
      </c>
      <c r="F1034" s="343" t="s">
        <v>96</v>
      </c>
      <c r="H1034" s="149">
        <f>SUM(H1033:H1033)</f>
        <v>10</v>
      </c>
      <c r="K1034" s="331"/>
      <c r="O1034" s="1"/>
    </row>
    <row r="1035" spans="2:15" s="165" customFormat="1">
      <c r="B1035" s="262"/>
      <c r="C1035" s="150">
        <f>C1032+1</f>
        <v>227</v>
      </c>
      <c r="D1035" s="150" t="s">
        <v>123</v>
      </c>
      <c r="E1035" s="151" t="s">
        <v>1860</v>
      </c>
      <c r="F1035" s="329" t="s">
        <v>1909</v>
      </c>
      <c r="G1035" s="150" t="s">
        <v>265</v>
      </c>
      <c r="H1035" s="325">
        <f>H1037</f>
        <v>7</v>
      </c>
      <c r="I1035" s="91"/>
      <c r="J1035" s="155">
        <f t="shared" ref="J1035" si="73">ROUND(I1035*H1035,2)</f>
        <v>0</v>
      </c>
      <c r="K1035" s="152"/>
      <c r="O1035" s="310"/>
    </row>
    <row r="1036" spans="2:15" s="11" customFormat="1">
      <c r="B1036" s="141"/>
      <c r="D1036" s="142" t="s">
        <v>95</v>
      </c>
      <c r="F1036" s="144" t="s">
        <v>2308</v>
      </c>
      <c r="H1036" s="145">
        <f>7</f>
        <v>7</v>
      </c>
      <c r="K1036" s="331"/>
      <c r="O1036" s="1"/>
    </row>
    <row r="1037" spans="2:15" s="12" customFormat="1">
      <c r="B1037" s="146"/>
      <c r="D1037" s="142" t="s">
        <v>95</v>
      </c>
      <c r="E1037" s="342" t="s">
        <v>2</v>
      </c>
      <c r="F1037" s="343" t="s">
        <v>96</v>
      </c>
      <c r="H1037" s="149">
        <f>SUM(H1036:H1036)</f>
        <v>7</v>
      </c>
      <c r="K1037" s="331"/>
      <c r="O1037" s="1"/>
    </row>
    <row r="1038" spans="2:15" s="165" customFormat="1" ht="22.9" customHeight="1">
      <c r="B1038" s="262"/>
      <c r="C1038" s="150">
        <f>C1035+1</f>
        <v>228</v>
      </c>
      <c r="D1038" s="150" t="s">
        <v>123</v>
      </c>
      <c r="E1038" s="151" t="s">
        <v>1911</v>
      </c>
      <c r="F1038" s="323" t="s">
        <v>552</v>
      </c>
      <c r="G1038" s="150" t="s">
        <v>155</v>
      </c>
      <c r="H1038" s="325">
        <f>H1040</f>
        <v>72</v>
      </c>
      <c r="I1038" s="91"/>
      <c r="J1038" s="155">
        <f t="shared" ref="J1038:J1041" si="74">ROUND(I1038*H1038,2)</f>
        <v>0</v>
      </c>
      <c r="K1038" s="152"/>
      <c r="O1038" s="310"/>
    </row>
    <row r="1039" spans="2:15" s="11" customFormat="1">
      <c r="B1039" s="141"/>
      <c r="D1039" s="142" t="s">
        <v>95</v>
      </c>
      <c r="F1039" s="144" t="s">
        <v>1842</v>
      </c>
      <c r="H1039" s="145">
        <f>72</f>
        <v>72</v>
      </c>
      <c r="K1039" s="331"/>
      <c r="O1039" s="1"/>
    </row>
    <row r="1040" spans="2:15" s="12" customFormat="1">
      <c r="B1040" s="146"/>
      <c r="D1040" s="142" t="s">
        <v>95</v>
      </c>
      <c r="E1040" s="342" t="s">
        <v>2</v>
      </c>
      <c r="F1040" s="343" t="s">
        <v>96</v>
      </c>
      <c r="H1040" s="149">
        <f>SUM(H1039:H1039)</f>
        <v>72</v>
      </c>
      <c r="K1040" s="331"/>
      <c r="O1040" s="1"/>
    </row>
    <row r="1041" spans="2:15" s="165" customFormat="1" ht="22.9" customHeight="1">
      <c r="B1041" s="262"/>
      <c r="C1041" s="150">
        <f>C1038+1</f>
        <v>229</v>
      </c>
      <c r="D1041" s="150" t="s">
        <v>123</v>
      </c>
      <c r="E1041" s="151" t="s">
        <v>1912</v>
      </c>
      <c r="F1041" s="323" t="s">
        <v>553</v>
      </c>
      <c r="G1041" s="150" t="s">
        <v>155</v>
      </c>
      <c r="H1041" s="325">
        <f>H1043</f>
        <v>20</v>
      </c>
      <c r="I1041" s="91"/>
      <c r="J1041" s="155">
        <f t="shared" si="74"/>
        <v>0</v>
      </c>
      <c r="K1041" s="152"/>
      <c r="O1041" s="310"/>
    </row>
    <row r="1042" spans="2:15" s="11" customFormat="1">
      <c r="B1042" s="141"/>
      <c r="D1042" s="142" t="s">
        <v>95</v>
      </c>
      <c r="F1042" s="144" t="s">
        <v>1841</v>
      </c>
      <c r="H1042" s="145">
        <f>20</f>
        <v>20</v>
      </c>
      <c r="K1042" s="331"/>
      <c r="O1042" s="1"/>
    </row>
    <row r="1043" spans="2:15" s="12" customFormat="1">
      <c r="B1043" s="146"/>
      <c r="D1043" s="142" t="s">
        <v>95</v>
      </c>
      <c r="E1043" s="342" t="s">
        <v>2</v>
      </c>
      <c r="F1043" s="343" t="s">
        <v>96</v>
      </c>
      <c r="H1043" s="149">
        <f>SUM(H1042:H1042)</f>
        <v>20</v>
      </c>
      <c r="K1043" s="331"/>
      <c r="O1043" s="1"/>
    </row>
    <row r="1044" spans="2:15" s="165" customFormat="1" ht="22.9" customHeight="1">
      <c r="B1044" s="262"/>
      <c r="C1044" s="150">
        <f>C1041+1</f>
        <v>230</v>
      </c>
      <c r="D1044" s="150" t="s">
        <v>123</v>
      </c>
      <c r="E1044" s="151" t="s">
        <v>1913</v>
      </c>
      <c r="F1044" s="323" t="s">
        <v>1141</v>
      </c>
      <c r="G1044" s="150" t="s">
        <v>155</v>
      </c>
      <c r="H1044" s="325">
        <f>H1046</f>
        <v>20</v>
      </c>
      <c r="I1044" s="91"/>
      <c r="J1044" s="155">
        <f t="shared" ref="J1044" si="75">ROUND(I1044*H1044,2)</f>
        <v>0</v>
      </c>
      <c r="K1044" s="152"/>
      <c r="O1044" s="310"/>
    </row>
    <row r="1045" spans="2:15" s="11" customFormat="1">
      <c r="B1045" s="141"/>
      <c r="D1045" s="142" t="s">
        <v>95</v>
      </c>
      <c r="F1045" s="144" t="s">
        <v>2351</v>
      </c>
      <c r="H1045" s="145">
        <f>(18+2)</f>
        <v>20</v>
      </c>
      <c r="O1045" s="1"/>
    </row>
    <row r="1046" spans="2:15" s="12" customFormat="1">
      <c r="B1046" s="146"/>
      <c r="D1046" s="142" t="s">
        <v>95</v>
      </c>
      <c r="E1046" s="147" t="s">
        <v>2</v>
      </c>
      <c r="F1046" s="148" t="s">
        <v>96</v>
      </c>
      <c r="H1046" s="149">
        <f>SUM(H1045:H1045)</f>
        <v>20</v>
      </c>
      <c r="O1046" s="1"/>
    </row>
    <row r="1047" spans="2:15" s="165" customFormat="1" ht="22.9" customHeight="1">
      <c r="B1047" s="262"/>
      <c r="C1047" s="150">
        <f>C1044+1</f>
        <v>231</v>
      </c>
      <c r="D1047" s="150" t="s">
        <v>123</v>
      </c>
      <c r="E1047" s="151" t="s">
        <v>1914</v>
      </c>
      <c r="F1047" s="323" t="s">
        <v>1823</v>
      </c>
      <c r="G1047" s="150" t="s">
        <v>155</v>
      </c>
      <c r="H1047" s="325">
        <f>H1049</f>
        <v>94</v>
      </c>
      <c r="I1047" s="91"/>
      <c r="J1047" s="155">
        <f t="shared" ref="J1047" si="76">ROUND(I1047*H1047,2)</f>
        <v>0</v>
      </c>
      <c r="K1047" s="152"/>
      <c r="O1047" s="310"/>
    </row>
    <row r="1048" spans="2:15" s="11" customFormat="1">
      <c r="B1048" s="141"/>
      <c r="D1048" s="142" t="s">
        <v>95</v>
      </c>
      <c r="F1048" s="144" t="s">
        <v>1840</v>
      </c>
      <c r="H1048" s="145">
        <f>94</f>
        <v>94</v>
      </c>
      <c r="K1048" s="331"/>
      <c r="O1048" s="1"/>
    </row>
    <row r="1049" spans="2:15" s="12" customFormat="1">
      <c r="B1049" s="146"/>
      <c r="D1049" s="142" t="s">
        <v>95</v>
      </c>
      <c r="E1049" s="342" t="s">
        <v>2</v>
      </c>
      <c r="F1049" s="343" t="s">
        <v>96</v>
      </c>
      <c r="H1049" s="149">
        <f>SUM(H1048:H1048)</f>
        <v>94</v>
      </c>
      <c r="K1049" s="331"/>
      <c r="O1049" s="1"/>
    </row>
    <row r="1050" spans="2:15" s="165" customFormat="1" ht="22.9" customHeight="1">
      <c r="B1050" s="262"/>
      <c r="C1050" s="150">
        <f>C1047+1</f>
        <v>232</v>
      </c>
      <c r="D1050" s="150" t="s">
        <v>123</v>
      </c>
      <c r="E1050" s="151" t="s">
        <v>2311</v>
      </c>
      <c r="F1050" s="323" t="s">
        <v>1824</v>
      </c>
      <c r="G1050" s="150" t="s">
        <v>155</v>
      </c>
      <c r="H1050" s="325">
        <f>H1052</f>
        <v>144</v>
      </c>
      <c r="I1050" s="91"/>
      <c r="J1050" s="155">
        <f t="shared" ref="J1050" si="77">ROUND(I1050*H1050,2)</f>
        <v>0</v>
      </c>
      <c r="K1050" s="152"/>
      <c r="O1050" s="310"/>
    </row>
    <row r="1051" spans="2:15" s="11" customFormat="1">
      <c r="B1051" s="141"/>
      <c r="D1051" s="142" t="s">
        <v>95</v>
      </c>
      <c r="F1051" s="144" t="s">
        <v>1839</v>
      </c>
      <c r="H1051" s="145">
        <f>144</f>
        <v>144</v>
      </c>
      <c r="K1051" s="331"/>
      <c r="O1051" s="1"/>
    </row>
    <row r="1052" spans="2:15" s="12" customFormat="1">
      <c r="B1052" s="146"/>
      <c r="D1052" s="142" t="s">
        <v>95</v>
      </c>
      <c r="E1052" s="342" t="s">
        <v>2</v>
      </c>
      <c r="F1052" s="343" t="s">
        <v>96</v>
      </c>
      <c r="H1052" s="149">
        <f>SUM(H1051:H1051)</f>
        <v>144</v>
      </c>
      <c r="K1052" s="331"/>
      <c r="O1052" s="1"/>
    </row>
    <row r="1053" spans="2:15" s="165" customFormat="1" ht="22.9" customHeight="1">
      <c r="B1053" s="262"/>
      <c r="C1053" s="150">
        <f>C1050+1</f>
        <v>233</v>
      </c>
      <c r="D1053" s="150" t="s">
        <v>123</v>
      </c>
      <c r="E1053" s="151" t="s">
        <v>2349</v>
      </c>
      <c r="F1053" s="323" t="s">
        <v>1822</v>
      </c>
      <c r="G1053" s="150" t="s">
        <v>155</v>
      </c>
      <c r="H1053" s="325">
        <f>H1055</f>
        <v>10</v>
      </c>
      <c r="I1053" s="91"/>
      <c r="J1053" s="155">
        <f t="shared" ref="J1053" si="78">ROUND(I1053*H1053,2)</f>
        <v>0</v>
      </c>
      <c r="K1053" s="152"/>
      <c r="O1053" s="310"/>
    </row>
    <row r="1054" spans="2:15" s="11" customFormat="1">
      <c r="B1054" s="141"/>
      <c r="D1054" s="142" t="s">
        <v>95</v>
      </c>
      <c r="F1054" s="144" t="s">
        <v>1859</v>
      </c>
      <c r="H1054" s="145">
        <f>10</f>
        <v>10</v>
      </c>
      <c r="K1054" s="331"/>
      <c r="O1054" s="1"/>
    </row>
    <row r="1055" spans="2:15" s="12" customFormat="1">
      <c r="B1055" s="146"/>
      <c r="D1055" s="142" t="s">
        <v>95</v>
      </c>
      <c r="E1055" s="342" t="s">
        <v>2</v>
      </c>
      <c r="F1055" s="343" t="s">
        <v>96</v>
      </c>
      <c r="H1055" s="149">
        <f>SUM(H1054:H1054)</f>
        <v>10</v>
      </c>
      <c r="K1055" s="331"/>
      <c r="O1055" s="1"/>
    </row>
    <row r="1056" spans="2:15" s="165" customFormat="1" ht="22.9" customHeight="1">
      <c r="B1056" s="262"/>
      <c r="C1056" s="150">
        <f>C1053+1</f>
        <v>234</v>
      </c>
      <c r="D1056" s="150" t="s">
        <v>123</v>
      </c>
      <c r="E1056" s="151" t="s">
        <v>2354</v>
      </c>
      <c r="F1056" s="323" t="s">
        <v>532</v>
      </c>
      <c r="G1056" s="150" t="s">
        <v>261</v>
      </c>
      <c r="H1056" s="155">
        <f>SUM(J943:J1055)</f>
        <v>0</v>
      </c>
      <c r="I1056" s="327"/>
      <c r="J1056" s="155">
        <f>ROUND(I1056%*H1056,2)</f>
        <v>0</v>
      </c>
      <c r="K1056" s="152"/>
      <c r="O1056" s="310"/>
    </row>
    <row r="1057" spans="2:15" s="10" customFormat="1" ht="29.85" customHeight="1">
      <c r="B1057" s="128"/>
      <c r="D1057" s="129"/>
      <c r="E1057" s="330" t="s">
        <v>707</v>
      </c>
      <c r="F1057" s="133" t="s">
        <v>1861</v>
      </c>
      <c r="G1057" s="132"/>
      <c r="J1057" s="134"/>
      <c r="O1057"/>
    </row>
    <row r="1058" spans="2:15" s="163" customFormat="1" ht="27">
      <c r="B1058" s="254"/>
      <c r="C1058" s="135">
        <f>C1056+1</f>
        <v>235</v>
      </c>
      <c r="D1058" s="135" t="s">
        <v>65</v>
      </c>
      <c r="E1058" s="136" t="s">
        <v>708</v>
      </c>
      <c r="F1058" s="273" t="s">
        <v>1862</v>
      </c>
      <c r="G1058" s="258" t="s">
        <v>265</v>
      </c>
      <c r="H1058" s="269">
        <f>H1060</f>
        <v>2</v>
      </c>
      <c r="I1058" s="281"/>
      <c r="J1058" s="140">
        <f t="shared" ref="J1058:J1061" si="79">ROUND(I1058*H1058,2)</f>
        <v>0</v>
      </c>
      <c r="K1058" s="137"/>
      <c r="O1058" s="1"/>
    </row>
    <row r="1059" spans="2:15" s="11" customFormat="1">
      <c r="B1059" s="141"/>
      <c r="D1059" s="142" t="s">
        <v>95</v>
      </c>
      <c r="F1059" s="144" t="s">
        <v>1154</v>
      </c>
      <c r="H1059" s="145">
        <f>2</f>
        <v>2</v>
      </c>
      <c r="O1059" s="1"/>
    </row>
    <row r="1060" spans="2:15" s="12" customFormat="1">
      <c r="B1060" s="146"/>
      <c r="D1060" s="142" t="s">
        <v>95</v>
      </c>
      <c r="E1060" s="342" t="s">
        <v>2</v>
      </c>
      <c r="F1060" s="343" t="s">
        <v>96</v>
      </c>
      <c r="H1060" s="149">
        <f>SUM(H1059:H1059)</f>
        <v>2</v>
      </c>
      <c r="O1060" s="1"/>
    </row>
    <row r="1061" spans="2:15" s="163" customFormat="1" ht="22.9" customHeight="1">
      <c r="B1061" s="254"/>
      <c r="C1061" s="135">
        <f>C1058+1</f>
        <v>236</v>
      </c>
      <c r="D1061" s="135" t="s">
        <v>65</v>
      </c>
      <c r="E1061" s="136" t="s">
        <v>681</v>
      </c>
      <c r="F1061" s="270" t="s">
        <v>1864</v>
      </c>
      <c r="G1061" s="258" t="s">
        <v>265</v>
      </c>
      <c r="H1061" s="269">
        <v>1</v>
      </c>
      <c r="I1061" s="281"/>
      <c r="J1061" s="140">
        <f t="shared" si="79"/>
        <v>0</v>
      </c>
      <c r="K1061" s="137"/>
      <c r="O1061" s="1"/>
    </row>
    <row r="1062" spans="2:15" s="11" customFormat="1">
      <c r="B1062" s="141"/>
      <c r="D1062" s="142" t="s">
        <v>95</v>
      </c>
      <c r="F1062" s="144" t="s">
        <v>1151</v>
      </c>
      <c r="H1062" s="145">
        <f>1</f>
        <v>1</v>
      </c>
      <c r="O1062" s="1"/>
    </row>
    <row r="1063" spans="2:15" s="12" customFormat="1">
      <c r="B1063" s="146"/>
      <c r="D1063" s="142" t="s">
        <v>95</v>
      </c>
      <c r="E1063" s="342" t="s">
        <v>2</v>
      </c>
      <c r="F1063" s="343" t="s">
        <v>96</v>
      </c>
      <c r="H1063" s="149">
        <f>SUM(H1062:H1062)</f>
        <v>1</v>
      </c>
      <c r="O1063" s="1"/>
    </row>
    <row r="1064" spans="2:15" s="163" customFormat="1" ht="40.15" customHeight="1">
      <c r="B1064" s="254"/>
      <c r="C1064" s="135">
        <f>C1061+1</f>
        <v>237</v>
      </c>
      <c r="D1064" s="135" t="s">
        <v>65</v>
      </c>
      <c r="E1064" s="136" t="s">
        <v>709</v>
      </c>
      <c r="F1064" s="273" t="s">
        <v>2362</v>
      </c>
      <c r="G1064" s="258" t="s">
        <v>265</v>
      </c>
      <c r="H1064" s="269">
        <v>1</v>
      </c>
      <c r="I1064" s="281"/>
      <c r="J1064" s="140">
        <f t="shared" ref="J1064" si="80">ROUND(I1064*H1064,2)</f>
        <v>0</v>
      </c>
      <c r="K1064" s="137"/>
      <c r="O1064" s="1"/>
    </row>
    <row r="1065" spans="2:15" s="11" customFormat="1">
      <c r="B1065" s="141"/>
      <c r="D1065" s="142" t="s">
        <v>95</v>
      </c>
      <c r="F1065" s="144" t="s">
        <v>1151</v>
      </c>
      <c r="H1065" s="145">
        <f>1</f>
        <v>1</v>
      </c>
      <c r="O1065" s="1"/>
    </row>
    <row r="1066" spans="2:15" s="12" customFormat="1">
      <c r="B1066" s="146"/>
      <c r="D1066" s="142" t="s">
        <v>95</v>
      </c>
      <c r="E1066" s="342" t="s">
        <v>2</v>
      </c>
      <c r="F1066" s="343" t="s">
        <v>96</v>
      </c>
      <c r="H1066" s="149">
        <f>SUM(H1065:H1065)</f>
        <v>1</v>
      </c>
      <c r="O1066" s="1"/>
    </row>
    <row r="1067" spans="2:15" s="163" customFormat="1" ht="22.9" customHeight="1">
      <c r="B1067" s="254"/>
      <c r="C1067" s="135">
        <f>C1064+1</f>
        <v>238</v>
      </c>
      <c r="D1067" s="135" t="s">
        <v>65</v>
      </c>
      <c r="E1067" s="136" t="s">
        <v>710</v>
      </c>
      <c r="F1067" s="273" t="s">
        <v>2363</v>
      </c>
      <c r="G1067" s="258" t="s">
        <v>265</v>
      </c>
      <c r="H1067" s="269">
        <f>H1070</f>
        <v>4</v>
      </c>
      <c r="I1067" s="281"/>
      <c r="J1067" s="140">
        <f t="shared" ref="J1067" si="81">ROUND(I1067*H1067,2)</f>
        <v>0</v>
      </c>
      <c r="K1067" s="137"/>
      <c r="O1067" s="1"/>
    </row>
    <row r="1068" spans="2:15" s="11" customFormat="1">
      <c r="B1068" s="141"/>
      <c r="D1068" s="142" t="s">
        <v>95</v>
      </c>
      <c r="F1068" s="144" t="s">
        <v>1193</v>
      </c>
      <c r="H1068" s="145">
        <f>2</f>
        <v>2</v>
      </c>
      <c r="O1068" s="1"/>
    </row>
    <row r="1069" spans="2:15" s="11" customFormat="1">
      <c r="B1069" s="141"/>
      <c r="D1069" s="142" t="s">
        <v>95</v>
      </c>
      <c r="F1069" s="144" t="s">
        <v>2364</v>
      </c>
      <c r="H1069" s="145">
        <f>2</f>
        <v>2</v>
      </c>
      <c r="O1069" s="1"/>
    </row>
    <row r="1070" spans="2:15" s="12" customFormat="1">
      <c r="B1070" s="146"/>
      <c r="D1070" s="142" t="s">
        <v>95</v>
      </c>
      <c r="E1070" s="342" t="s">
        <v>2</v>
      </c>
      <c r="F1070" s="343" t="s">
        <v>96</v>
      </c>
      <c r="H1070" s="149">
        <f>SUM(H1068:H1069)</f>
        <v>4</v>
      </c>
      <c r="O1070" s="1"/>
    </row>
    <row r="1071" spans="2:15" s="163" customFormat="1" ht="22.9" customHeight="1">
      <c r="B1071" s="254"/>
      <c r="C1071" s="258">
        <f>C1067+1</f>
        <v>239</v>
      </c>
      <c r="D1071" s="258" t="s">
        <v>65</v>
      </c>
      <c r="E1071" s="259" t="s">
        <v>711</v>
      </c>
      <c r="F1071" s="270" t="s">
        <v>2365</v>
      </c>
      <c r="G1071" s="258" t="s">
        <v>155</v>
      </c>
      <c r="H1071" s="269">
        <f>H1073</f>
        <v>20</v>
      </c>
      <c r="I1071" s="281"/>
      <c r="J1071" s="272">
        <f t="shared" ref="J1071" si="82">ROUND(I1071*H1071,2)</f>
        <v>0</v>
      </c>
      <c r="K1071" s="284"/>
    </row>
    <row r="1072" spans="2:15" s="11" customFormat="1">
      <c r="B1072" s="141"/>
      <c r="D1072" s="142" t="s">
        <v>95</v>
      </c>
      <c r="F1072" s="144" t="s">
        <v>2351</v>
      </c>
      <c r="H1072" s="145">
        <f>(18+2)</f>
        <v>20</v>
      </c>
      <c r="O1072" s="1"/>
    </row>
    <row r="1073" spans="2:15" s="12" customFormat="1">
      <c r="B1073" s="146"/>
      <c r="D1073" s="142" t="s">
        <v>95</v>
      </c>
      <c r="E1073" s="342" t="s">
        <v>2</v>
      </c>
      <c r="F1073" s="343" t="s">
        <v>96</v>
      </c>
      <c r="H1073" s="149">
        <f>SUM(H1072:H1072)</f>
        <v>20</v>
      </c>
      <c r="K1073" s="331"/>
      <c r="O1073" s="1"/>
    </row>
    <row r="1074" spans="2:15" s="163" customFormat="1" ht="22.9" customHeight="1">
      <c r="B1074" s="254"/>
      <c r="C1074" s="258">
        <f>C1067+1</f>
        <v>239</v>
      </c>
      <c r="D1074" s="258" t="s">
        <v>65</v>
      </c>
      <c r="E1074" s="259" t="s">
        <v>712</v>
      </c>
      <c r="F1074" s="270" t="s">
        <v>1867</v>
      </c>
      <c r="G1074" s="258" t="s">
        <v>155</v>
      </c>
      <c r="H1074" s="269">
        <f>H1076</f>
        <v>16</v>
      </c>
      <c r="I1074" s="281"/>
      <c r="J1074" s="272">
        <f t="shared" ref="J1074" si="83">ROUND(I1074*H1074,2)</f>
        <v>0</v>
      </c>
      <c r="K1074" s="284"/>
    </row>
    <row r="1075" spans="2:15" s="11" customFormat="1">
      <c r="B1075" s="141"/>
      <c r="D1075" s="142" t="s">
        <v>95</v>
      </c>
      <c r="F1075" s="144" t="s">
        <v>1868</v>
      </c>
      <c r="H1075" s="145">
        <f>16</f>
        <v>16</v>
      </c>
      <c r="K1075" s="331"/>
      <c r="O1075" s="1"/>
    </row>
    <row r="1076" spans="2:15" s="12" customFormat="1">
      <c r="B1076" s="146"/>
      <c r="D1076" s="142" t="s">
        <v>95</v>
      </c>
      <c r="E1076" s="342" t="s">
        <v>2</v>
      </c>
      <c r="F1076" s="343" t="s">
        <v>96</v>
      </c>
      <c r="H1076" s="149">
        <f>SUM(H1075:H1075)</f>
        <v>16</v>
      </c>
      <c r="K1076" s="331"/>
      <c r="O1076" s="1"/>
    </row>
    <row r="1077" spans="2:15" s="163" customFormat="1" ht="22.9" customHeight="1">
      <c r="B1077" s="254"/>
      <c r="C1077" s="258">
        <f>C1074+1</f>
        <v>240</v>
      </c>
      <c r="D1077" s="258" t="s">
        <v>65</v>
      </c>
      <c r="E1077" s="259" t="s">
        <v>713</v>
      </c>
      <c r="F1077" s="270" t="s">
        <v>1865</v>
      </c>
      <c r="G1077" s="258" t="s">
        <v>155</v>
      </c>
      <c r="H1077" s="269">
        <f>H1079</f>
        <v>19</v>
      </c>
      <c r="I1077" s="281"/>
      <c r="J1077" s="272">
        <f t="shared" ref="J1077" si="84">ROUND(I1077*H1077,2)</f>
        <v>0</v>
      </c>
      <c r="K1077" s="284"/>
    </row>
    <row r="1078" spans="2:15" s="11" customFormat="1">
      <c r="B1078" s="141"/>
      <c r="D1078" s="142" t="s">
        <v>95</v>
      </c>
      <c r="F1078" s="144" t="s">
        <v>1866</v>
      </c>
      <c r="H1078" s="145">
        <f>19</f>
        <v>19</v>
      </c>
      <c r="K1078" s="331"/>
      <c r="O1078" s="1"/>
    </row>
    <row r="1079" spans="2:15" s="12" customFormat="1">
      <c r="B1079" s="146"/>
      <c r="D1079" s="142" t="s">
        <v>95</v>
      </c>
      <c r="E1079" s="342" t="s">
        <v>2</v>
      </c>
      <c r="F1079" s="343" t="s">
        <v>96</v>
      </c>
      <c r="H1079" s="149">
        <f>SUM(H1078:H1078)</f>
        <v>19</v>
      </c>
      <c r="K1079" s="331"/>
      <c r="O1079" s="1"/>
    </row>
    <row r="1080" spans="2:15" s="163" customFormat="1" ht="22.9" customHeight="1">
      <c r="B1080" s="254"/>
      <c r="C1080" s="258">
        <f>C1077+1</f>
        <v>241</v>
      </c>
      <c r="D1080" s="258" t="s">
        <v>65</v>
      </c>
      <c r="E1080" s="259" t="s">
        <v>714</v>
      </c>
      <c r="F1080" s="270" t="s">
        <v>1869</v>
      </c>
      <c r="G1080" s="258" t="s">
        <v>155</v>
      </c>
      <c r="H1080" s="269">
        <f>H1082</f>
        <v>18</v>
      </c>
      <c r="I1080" s="281"/>
      <c r="J1080" s="272">
        <f t="shared" ref="J1080" si="85">ROUND(I1080*H1080,2)</f>
        <v>0</v>
      </c>
      <c r="K1080" s="284"/>
    </row>
    <row r="1081" spans="2:15" s="11" customFormat="1">
      <c r="B1081" s="141"/>
      <c r="D1081" s="142" t="s">
        <v>95</v>
      </c>
      <c r="F1081" s="144" t="s">
        <v>1816</v>
      </c>
      <c r="H1081" s="145">
        <f>18</f>
        <v>18</v>
      </c>
      <c r="K1081" s="331"/>
      <c r="O1081" s="1"/>
    </row>
    <row r="1082" spans="2:15" s="12" customFormat="1">
      <c r="B1082" s="146"/>
      <c r="D1082" s="142" t="s">
        <v>95</v>
      </c>
      <c r="E1082" s="342" t="s">
        <v>2</v>
      </c>
      <c r="F1082" s="343" t="s">
        <v>96</v>
      </c>
      <c r="H1082" s="149">
        <f>SUM(H1081:H1081)</f>
        <v>18</v>
      </c>
      <c r="K1082" s="331"/>
      <c r="O1082" s="1"/>
    </row>
    <row r="1083" spans="2:15" s="163" customFormat="1" ht="22.9" customHeight="1">
      <c r="B1083" s="254"/>
      <c r="C1083" s="258">
        <f>C1080+1</f>
        <v>242</v>
      </c>
      <c r="D1083" s="258" t="s">
        <v>65</v>
      </c>
      <c r="E1083" s="259" t="s">
        <v>715</v>
      </c>
      <c r="F1083" s="270" t="s">
        <v>1221</v>
      </c>
      <c r="G1083" s="258" t="s">
        <v>155</v>
      </c>
      <c r="H1083" s="269">
        <f>H1085</f>
        <v>274</v>
      </c>
      <c r="I1083" s="281"/>
      <c r="J1083" s="272">
        <f t="shared" ref="J1083" si="86">ROUND(I1083*H1083,2)</f>
        <v>0</v>
      </c>
      <c r="K1083" s="284"/>
    </row>
    <row r="1084" spans="2:15" s="11" customFormat="1">
      <c r="B1084" s="141"/>
      <c r="D1084" s="142" t="s">
        <v>95</v>
      </c>
      <c r="F1084" s="144" t="s">
        <v>1817</v>
      </c>
      <c r="H1084" s="145">
        <f>274</f>
        <v>274</v>
      </c>
      <c r="K1084" s="331"/>
      <c r="O1084" s="1"/>
    </row>
    <row r="1085" spans="2:15" s="12" customFormat="1">
      <c r="B1085" s="146"/>
      <c r="D1085" s="142" t="s">
        <v>95</v>
      </c>
      <c r="E1085" s="342" t="s">
        <v>2</v>
      </c>
      <c r="F1085" s="343" t="s">
        <v>96</v>
      </c>
      <c r="H1085" s="149">
        <f>SUM(H1084:H1084)</f>
        <v>274</v>
      </c>
      <c r="K1085" s="331"/>
      <c r="O1085" s="1"/>
    </row>
    <row r="1086" spans="2:15" s="163" customFormat="1" ht="22.9" customHeight="1">
      <c r="B1086" s="254"/>
      <c r="C1086" s="258">
        <f>C1083+1</f>
        <v>243</v>
      </c>
      <c r="D1086" s="258" t="s">
        <v>65</v>
      </c>
      <c r="E1086" s="259" t="s">
        <v>716</v>
      </c>
      <c r="F1086" s="270" t="s">
        <v>1222</v>
      </c>
      <c r="G1086" s="258" t="s">
        <v>155</v>
      </c>
      <c r="H1086" s="269">
        <f>H1088</f>
        <v>182</v>
      </c>
      <c r="I1086" s="281"/>
      <c r="J1086" s="272">
        <f t="shared" ref="J1086" si="87">ROUND(I1086*H1086,2)</f>
        <v>0</v>
      </c>
      <c r="K1086" s="284"/>
    </row>
    <row r="1087" spans="2:15" s="11" customFormat="1">
      <c r="B1087" s="141"/>
      <c r="D1087" s="142" t="s">
        <v>95</v>
      </c>
      <c r="F1087" s="144" t="s">
        <v>1818</v>
      </c>
      <c r="H1087" s="145">
        <f>182</f>
        <v>182</v>
      </c>
      <c r="K1087" s="331"/>
      <c r="O1087" s="1"/>
    </row>
    <row r="1088" spans="2:15" s="12" customFormat="1">
      <c r="B1088" s="146"/>
      <c r="D1088" s="142" t="s">
        <v>95</v>
      </c>
      <c r="E1088" s="342" t="s">
        <v>2</v>
      </c>
      <c r="F1088" s="343" t="s">
        <v>96</v>
      </c>
      <c r="H1088" s="149">
        <f>SUM(H1087:H1087)</f>
        <v>182</v>
      </c>
      <c r="K1088" s="331"/>
      <c r="O1088" s="1"/>
    </row>
    <row r="1089" spans="2:15" s="163" customFormat="1" ht="22.9" customHeight="1">
      <c r="B1089" s="254"/>
      <c r="C1089" s="258">
        <f>C1086+1</f>
        <v>244</v>
      </c>
      <c r="D1089" s="258" t="s">
        <v>65</v>
      </c>
      <c r="E1089" s="259" t="s">
        <v>717</v>
      </c>
      <c r="F1089" s="270" t="s">
        <v>1223</v>
      </c>
      <c r="G1089" s="258" t="s">
        <v>155</v>
      </c>
      <c r="H1089" s="269">
        <f>H1091</f>
        <v>61</v>
      </c>
      <c r="I1089" s="281"/>
      <c r="J1089" s="272">
        <f t="shared" ref="J1089" si="88">ROUND(I1089*H1089,2)</f>
        <v>0</v>
      </c>
      <c r="K1089" s="284"/>
    </row>
    <row r="1090" spans="2:15" s="11" customFormat="1">
      <c r="B1090" s="141"/>
      <c r="D1090" s="142" t="s">
        <v>95</v>
      </c>
      <c r="F1090" s="144" t="s">
        <v>1819</v>
      </c>
      <c r="H1090" s="145">
        <f>61</f>
        <v>61</v>
      </c>
      <c r="K1090" s="331"/>
      <c r="O1090" s="1"/>
    </row>
    <row r="1091" spans="2:15" s="12" customFormat="1">
      <c r="B1091" s="146"/>
      <c r="D1091" s="142" t="s">
        <v>95</v>
      </c>
      <c r="E1091" s="342" t="s">
        <v>2</v>
      </c>
      <c r="F1091" s="343" t="s">
        <v>96</v>
      </c>
      <c r="H1091" s="149">
        <f>SUM(H1090:H1090)</f>
        <v>61</v>
      </c>
      <c r="K1091" s="331"/>
      <c r="O1091" s="1"/>
    </row>
    <row r="1092" spans="2:15" s="163" customFormat="1" ht="22.9" customHeight="1">
      <c r="B1092" s="254"/>
      <c r="C1092" s="258">
        <f>C1089+1</f>
        <v>245</v>
      </c>
      <c r="D1092" s="258" t="s">
        <v>65</v>
      </c>
      <c r="E1092" s="136" t="s">
        <v>718</v>
      </c>
      <c r="F1092" s="270" t="s">
        <v>1224</v>
      </c>
      <c r="G1092" s="258" t="s">
        <v>155</v>
      </c>
      <c r="H1092" s="269">
        <f>H1094</f>
        <v>8</v>
      </c>
      <c r="I1092" s="281"/>
      <c r="J1092" s="272">
        <f t="shared" ref="J1092" si="89">ROUND(I1092*H1092,2)</f>
        <v>0</v>
      </c>
      <c r="K1092" s="284"/>
    </row>
    <row r="1093" spans="2:15" s="11" customFormat="1">
      <c r="B1093" s="141"/>
      <c r="D1093" s="142" t="s">
        <v>95</v>
      </c>
      <c r="F1093" s="144" t="s">
        <v>1870</v>
      </c>
      <c r="H1093" s="145">
        <f>8</f>
        <v>8</v>
      </c>
      <c r="K1093" s="331"/>
      <c r="O1093" s="1"/>
    </row>
    <row r="1094" spans="2:15" s="12" customFormat="1">
      <c r="B1094" s="146"/>
      <c r="D1094" s="142" t="s">
        <v>95</v>
      </c>
      <c r="E1094" s="342" t="s">
        <v>2</v>
      </c>
      <c r="F1094" s="343" t="s">
        <v>96</v>
      </c>
      <c r="H1094" s="149">
        <f>SUM(H1093:H1093)</f>
        <v>8</v>
      </c>
      <c r="K1094" s="331"/>
      <c r="O1094" s="1"/>
    </row>
    <row r="1095" spans="2:15" s="163" customFormat="1" ht="22.9" customHeight="1">
      <c r="B1095" s="254"/>
      <c r="C1095" s="258">
        <f>C1092+1</f>
        <v>246</v>
      </c>
      <c r="D1095" s="258" t="s">
        <v>65</v>
      </c>
      <c r="E1095" s="259" t="s">
        <v>719</v>
      </c>
      <c r="F1095" s="270" t="s">
        <v>1225</v>
      </c>
      <c r="G1095" s="258" t="s">
        <v>155</v>
      </c>
      <c r="H1095" s="269">
        <f>H1097</f>
        <v>20</v>
      </c>
      <c r="I1095" s="281"/>
      <c r="J1095" s="272">
        <f t="shared" ref="J1095" si="90">ROUND(I1095*H1095,2)</f>
        <v>0</v>
      </c>
      <c r="K1095" s="284"/>
    </row>
    <row r="1096" spans="2:15" s="11" customFormat="1">
      <c r="B1096" s="141"/>
      <c r="D1096" s="142" t="s">
        <v>95</v>
      </c>
      <c r="F1096" s="144" t="s">
        <v>1841</v>
      </c>
      <c r="H1096" s="145">
        <f>20</f>
        <v>20</v>
      </c>
      <c r="O1096" s="1"/>
    </row>
    <row r="1097" spans="2:15" s="12" customFormat="1">
      <c r="B1097" s="146"/>
      <c r="D1097" s="142" t="s">
        <v>95</v>
      </c>
      <c r="E1097" s="342" t="s">
        <v>2</v>
      </c>
      <c r="F1097" s="343" t="s">
        <v>96</v>
      </c>
      <c r="H1097" s="149">
        <f>SUM(H1096:H1096)</f>
        <v>20</v>
      </c>
      <c r="O1097" s="1"/>
    </row>
    <row r="1098" spans="2:15" s="163" customFormat="1" ht="22.9" customHeight="1">
      <c r="B1098" s="254"/>
      <c r="C1098" s="135">
        <f>C1095+1</f>
        <v>247</v>
      </c>
      <c r="D1098" s="135" t="s">
        <v>65</v>
      </c>
      <c r="E1098" s="136" t="s">
        <v>720</v>
      </c>
      <c r="F1098" s="270" t="s">
        <v>1226</v>
      </c>
      <c r="G1098" s="258" t="s">
        <v>155</v>
      </c>
      <c r="H1098" s="269">
        <f>H1102</f>
        <v>112</v>
      </c>
      <c r="I1098" s="281"/>
      <c r="J1098" s="140">
        <f t="shared" ref="J1098" si="91">ROUND(I1098*H1098,2)</f>
        <v>0</v>
      </c>
      <c r="K1098" s="137"/>
      <c r="O1098" s="1"/>
    </row>
    <row r="1099" spans="2:15" s="11" customFormat="1">
      <c r="B1099" s="141"/>
      <c r="D1099" s="142" t="s">
        <v>95</v>
      </c>
      <c r="F1099" s="144" t="s">
        <v>1871</v>
      </c>
      <c r="H1099" s="145">
        <f>72</f>
        <v>72</v>
      </c>
      <c r="K1099" s="331"/>
      <c r="O1099" s="1"/>
    </row>
    <row r="1100" spans="2:15" s="11" customFormat="1">
      <c r="B1100" s="141"/>
      <c r="D1100" s="142" t="s">
        <v>95</v>
      </c>
      <c r="F1100" s="144" t="s">
        <v>1872</v>
      </c>
      <c r="H1100" s="145">
        <f>20</f>
        <v>20</v>
      </c>
      <c r="K1100" s="331"/>
      <c r="O1100" s="1"/>
    </row>
    <row r="1101" spans="2:15" s="11" customFormat="1">
      <c r="B1101" s="141"/>
      <c r="D1101" s="142" t="s">
        <v>95</v>
      </c>
      <c r="F1101" s="144" t="s">
        <v>2366</v>
      </c>
      <c r="H1101" s="145">
        <f>(18+2)</f>
        <v>20</v>
      </c>
      <c r="K1101" s="331"/>
      <c r="O1101" s="1"/>
    </row>
    <row r="1102" spans="2:15" s="12" customFormat="1">
      <c r="B1102" s="146"/>
      <c r="D1102" s="142" t="s">
        <v>95</v>
      </c>
      <c r="E1102" s="342" t="s">
        <v>2</v>
      </c>
      <c r="F1102" s="343" t="s">
        <v>96</v>
      </c>
      <c r="H1102" s="149">
        <f>SUM(H1099:H1101)</f>
        <v>112</v>
      </c>
      <c r="K1102" s="331"/>
      <c r="O1102" s="1"/>
    </row>
    <row r="1103" spans="2:15" s="163" customFormat="1" ht="22.9" customHeight="1">
      <c r="B1103" s="254"/>
      <c r="C1103" s="258">
        <f>C1098+1</f>
        <v>248</v>
      </c>
      <c r="D1103" s="258" t="s">
        <v>65</v>
      </c>
      <c r="E1103" s="259" t="s">
        <v>721</v>
      </c>
      <c r="F1103" s="270" t="s">
        <v>1200</v>
      </c>
      <c r="G1103" s="258" t="s">
        <v>155</v>
      </c>
      <c r="H1103" s="269">
        <f>H1105</f>
        <v>72</v>
      </c>
      <c r="I1103" s="281"/>
      <c r="J1103" s="272">
        <f t="shared" ref="J1103" si="92">ROUND(I1103*H1103,2)</f>
        <v>0</v>
      </c>
      <c r="K1103" s="284"/>
    </row>
    <row r="1104" spans="2:15" s="11" customFormat="1">
      <c r="B1104" s="141"/>
      <c r="D1104" s="142" t="s">
        <v>95</v>
      </c>
      <c r="F1104" s="144" t="s">
        <v>1873</v>
      </c>
      <c r="H1104" s="145">
        <f>72</f>
        <v>72</v>
      </c>
      <c r="K1104" s="331"/>
      <c r="O1104" s="1"/>
    </row>
    <row r="1105" spans="2:15" s="12" customFormat="1">
      <c r="B1105" s="146"/>
      <c r="D1105" s="142" t="s">
        <v>95</v>
      </c>
      <c r="E1105" s="342" t="s">
        <v>2</v>
      </c>
      <c r="F1105" s="343" t="s">
        <v>96</v>
      </c>
      <c r="H1105" s="149">
        <f>SUM(H1104:H1104)</f>
        <v>72</v>
      </c>
      <c r="K1105" s="331"/>
      <c r="O1105" s="1"/>
    </row>
    <row r="1106" spans="2:15" s="163" customFormat="1" ht="22.9" customHeight="1">
      <c r="B1106" s="254"/>
      <c r="C1106" s="258">
        <f>C1103+1</f>
        <v>249</v>
      </c>
      <c r="D1106" s="258" t="s">
        <v>65</v>
      </c>
      <c r="E1106" s="259" t="s">
        <v>722</v>
      </c>
      <c r="F1106" s="270" t="s">
        <v>1201</v>
      </c>
      <c r="G1106" s="258" t="s">
        <v>155</v>
      </c>
      <c r="H1106" s="269">
        <f>H1108</f>
        <v>20</v>
      </c>
      <c r="I1106" s="281"/>
      <c r="J1106" s="272">
        <f t="shared" ref="J1106" si="93">ROUND(I1106*H1106,2)</f>
        <v>0</v>
      </c>
      <c r="K1106" s="284"/>
    </row>
    <row r="1107" spans="2:15" s="11" customFormat="1">
      <c r="B1107" s="141"/>
      <c r="D1107" s="142" t="s">
        <v>95</v>
      </c>
      <c r="F1107" s="144" t="s">
        <v>1874</v>
      </c>
      <c r="H1107" s="145">
        <f>20</f>
        <v>20</v>
      </c>
      <c r="K1107" s="331"/>
      <c r="O1107" s="1"/>
    </row>
    <row r="1108" spans="2:15" s="12" customFormat="1">
      <c r="B1108" s="146"/>
      <c r="D1108" s="142" t="s">
        <v>95</v>
      </c>
      <c r="E1108" s="342" t="s">
        <v>2</v>
      </c>
      <c r="F1108" s="343" t="s">
        <v>96</v>
      </c>
      <c r="H1108" s="149">
        <f>SUM(H1107:H1107)</f>
        <v>20</v>
      </c>
      <c r="K1108" s="331"/>
      <c r="O1108" s="1"/>
    </row>
    <row r="1109" spans="2:15" s="163" customFormat="1" ht="22.9" customHeight="1">
      <c r="B1109" s="254"/>
      <c r="C1109" s="258">
        <f>C1106+1</f>
        <v>250</v>
      </c>
      <c r="D1109" s="258" t="s">
        <v>65</v>
      </c>
      <c r="E1109" s="259" t="s">
        <v>723</v>
      </c>
      <c r="F1109" s="270" t="s">
        <v>2370</v>
      </c>
      <c r="G1109" s="258" t="s">
        <v>155</v>
      </c>
      <c r="H1109" s="269">
        <f>H1111</f>
        <v>20</v>
      </c>
      <c r="I1109" s="281"/>
      <c r="J1109" s="272">
        <f t="shared" ref="J1109" si="94">ROUND(I1109*H1109,2)</f>
        <v>0</v>
      </c>
      <c r="K1109" s="284"/>
    </row>
    <row r="1110" spans="2:15" s="11" customFormat="1">
      <c r="B1110" s="141"/>
      <c r="D1110" s="142" t="s">
        <v>95</v>
      </c>
      <c r="F1110" s="144" t="s">
        <v>2371</v>
      </c>
      <c r="H1110" s="145">
        <f>(18+2)</f>
        <v>20</v>
      </c>
      <c r="K1110" s="331"/>
      <c r="O1110" s="1"/>
    </row>
    <row r="1111" spans="2:15" s="12" customFormat="1">
      <c r="B1111" s="146"/>
      <c r="D1111" s="142" t="s">
        <v>95</v>
      </c>
      <c r="E1111" s="342" t="s">
        <v>2</v>
      </c>
      <c r="F1111" s="343" t="s">
        <v>96</v>
      </c>
      <c r="H1111" s="149">
        <f>SUM(H1110:H1110)</f>
        <v>20</v>
      </c>
      <c r="K1111" s="331"/>
      <c r="O1111" s="1"/>
    </row>
    <row r="1112" spans="2:15" s="163" customFormat="1" ht="27">
      <c r="B1112" s="254"/>
      <c r="C1112" s="258">
        <f>C1109+1</f>
        <v>251</v>
      </c>
      <c r="D1112" s="258" t="s">
        <v>65</v>
      </c>
      <c r="E1112" s="259" t="s">
        <v>724</v>
      </c>
      <c r="F1112" s="273" t="s">
        <v>1875</v>
      </c>
      <c r="G1112" s="258" t="s">
        <v>265</v>
      </c>
      <c r="H1112" s="269">
        <f>H1116</f>
        <v>6</v>
      </c>
      <c r="I1112" s="281"/>
      <c r="J1112" s="272">
        <f t="shared" ref="J1112" si="95">ROUND(I1112*H1112,2)</f>
        <v>0</v>
      </c>
      <c r="K1112" s="284"/>
    </row>
    <row r="1113" spans="2:15" s="11" customFormat="1">
      <c r="B1113" s="141"/>
      <c r="D1113" s="142" t="s">
        <v>95</v>
      </c>
      <c r="F1113" s="144" t="s">
        <v>1852</v>
      </c>
      <c r="H1113" s="145">
        <f>1</f>
        <v>1</v>
      </c>
      <c r="K1113" s="331"/>
      <c r="O1113" s="1"/>
    </row>
    <row r="1114" spans="2:15" s="11" customFormat="1">
      <c r="B1114" s="141"/>
      <c r="D1114" s="142" t="s">
        <v>95</v>
      </c>
      <c r="F1114" s="144" t="s">
        <v>1856</v>
      </c>
      <c r="H1114" s="145">
        <f>2</f>
        <v>2</v>
      </c>
      <c r="K1114" s="331"/>
      <c r="O1114" s="1"/>
    </row>
    <row r="1115" spans="2:15" s="11" customFormat="1">
      <c r="B1115" s="141"/>
      <c r="D1115" s="142" t="s">
        <v>95</v>
      </c>
      <c r="F1115" s="144" t="s">
        <v>1857</v>
      </c>
      <c r="H1115" s="145">
        <f>(2+1)</f>
        <v>3</v>
      </c>
      <c r="K1115" s="331"/>
      <c r="O1115" s="1"/>
    </row>
    <row r="1116" spans="2:15" s="12" customFormat="1">
      <c r="B1116" s="146"/>
      <c r="D1116" s="142" t="s">
        <v>95</v>
      </c>
      <c r="E1116" s="342" t="s">
        <v>2</v>
      </c>
      <c r="F1116" s="343" t="s">
        <v>96</v>
      </c>
      <c r="H1116" s="149">
        <f>SUM(H1113:H1115)</f>
        <v>6</v>
      </c>
      <c r="K1116" s="331"/>
      <c r="O1116" s="1"/>
    </row>
    <row r="1117" spans="2:15" s="163" customFormat="1" ht="27">
      <c r="B1117" s="254"/>
      <c r="C1117" s="258">
        <f>C1112+1</f>
        <v>252</v>
      </c>
      <c r="D1117" s="258" t="s">
        <v>65</v>
      </c>
      <c r="E1117" s="259" t="s">
        <v>725</v>
      </c>
      <c r="F1117" s="273" t="s">
        <v>1876</v>
      </c>
      <c r="G1117" s="258" t="s">
        <v>265</v>
      </c>
      <c r="H1117" s="269">
        <f>H1121</f>
        <v>5</v>
      </c>
      <c r="I1117" s="281"/>
      <c r="J1117" s="272">
        <f t="shared" ref="J1117" si="96">ROUND(I1117*H1117,2)</f>
        <v>0</v>
      </c>
      <c r="K1117" s="284"/>
    </row>
    <row r="1118" spans="2:15" s="11" customFormat="1">
      <c r="B1118" s="141"/>
      <c r="D1118" s="142" t="s">
        <v>95</v>
      </c>
      <c r="F1118" s="144" t="s">
        <v>1852</v>
      </c>
      <c r="H1118" s="145">
        <f>1</f>
        <v>1</v>
      </c>
      <c r="K1118" s="331"/>
      <c r="O1118" s="1"/>
    </row>
    <row r="1119" spans="2:15" s="11" customFormat="1">
      <c r="B1119" s="141"/>
      <c r="D1119" s="142" t="s">
        <v>95</v>
      </c>
      <c r="F1119" s="144" t="s">
        <v>1851</v>
      </c>
      <c r="H1119" s="145">
        <f>1</f>
        <v>1</v>
      </c>
      <c r="K1119" s="331"/>
      <c r="O1119" s="1"/>
    </row>
    <row r="1120" spans="2:15" s="11" customFormat="1">
      <c r="B1120" s="141"/>
      <c r="D1120" s="142" t="s">
        <v>95</v>
      </c>
      <c r="F1120" s="144" t="s">
        <v>1855</v>
      </c>
      <c r="H1120" s="145">
        <f>(1+1+1)</f>
        <v>3</v>
      </c>
      <c r="K1120" s="331"/>
      <c r="O1120" s="1"/>
    </row>
    <row r="1121" spans="2:15" s="12" customFormat="1">
      <c r="B1121" s="146"/>
      <c r="D1121" s="142" t="s">
        <v>95</v>
      </c>
      <c r="E1121" s="342" t="s">
        <v>2</v>
      </c>
      <c r="F1121" s="343" t="s">
        <v>96</v>
      </c>
      <c r="H1121" s="149">
        <f>SUM(H1118:H1120)</f>
        <v>5</v>
      </c>
      <c r="K1121" s="331"/>
      <c r="O1121" s="1"/>
    </row>
    <row r="1122" spans="2:15" s="163" customFormat="1" ht="27">
      <c r="B1122" s="254"/>
      <c r="C1122" s="258">
        <f>C1117+1</f>
        <v>253</v>
      </c>
      <c r="D1122" s="258" t="s">
        <v>65</v>
      </c>
      <c r="E1122" s="259" t="s">
        <v>726</v>
      </c>
      <c r="F1122" s="273" t="s">
        <v>1877</v>
      </c>
      <c r="G1122" s="258" t="s">
        <v>265</v>
      </c>
      <c r="H1122" s="269">
        <f>H1124</f>
        <v>1</v>
      </c>
      <c r="I1122" s="281"/>
      <c r="J1122" s="272">
        <f t="shared" ref="J1122" si="97">ROUND(I1122*H1122,2)</f>
        <v>0</v>
      </c>
      <c r="K1122" s="284"/>
    </row>
    <row r="1123" spans="2:15" s="11" customFormat="1">
      <c r="B1123" s="141"/>
      <c r="D1123" s="142" t="s">
        <v>95</v>
      </c>
      <c r="F1123" s="144" t="s">
        <v>1854</v>
      </c>
      <c r="H1123" s="145">
        <f>1</f>
        <v>1</v>
      </c>
      <c r="K1123" s="331"/>
      <c r="O1123" s="1"/>
    </row>
    <row r="1124" spans="2:15" s="12" customFormat="1">
      <c r="B1124" s="146"/>
      <c r="D1124" s="142" t="s">
        <v>95</v>
      </c>
      <c r="E1124" s="342" t="s">
        <v>2</v>
      </c>
      <c r="F1124" s="343" t="s">
        <v>96</v>
      </c>
      <c r="H1124" s="149">
        <f>SUM(H1123:H1123)</f>
        <v>1</v>
      </c>
      <c r="K1124" s="331"/>
      <c r="O1124" s="1"/>
    </row>
    <row r="1125" spans="2:15" s="163" customFormat="1" ht="27">
      <c r="B1125" s="254"/>
      <c r="C1125" s="258">
        <f>C1122+1</f>
        <v>254</v>
      </c>
      <c r="D1125" s="258" t="s">
        <v>65</v>
      </c>
      <c r="E1125" s="259" t="s">
        <v>727</v>
      </c>
      <c r="F1125" s="273" t="s">
        <v>1878</v>
      </c>
      <c r="G1125" s="258" t="s">
        <v>265</v>
      </c>
      <c r="H1125" s="269">
        <f>H1127</f>
        <v>14</v>
      </c>
      <c r="I1125" s="281"/>
      <c r="J1125" s="272">
        <f t="shared" ref="J1125" si="98">ROUND(I1125*H1125,2)</f>
        <v>0</v>
      </c>
      <c r="K1125" s="284"/>
    </row>
    <row r="1126" spans="2:15" s="11" customFormat="1">
      <c r="B1126" s="141"/>
      <c r="D1126" s="142" t="s">
        <v>95</v>
      </c>
      <c r="F1126" s="144" t="s">
        <v>1853</v>
      </c>
      <c r="H1126" s="145">
        <f>14</f>
        <v>14</v>
      </c>
      <c r="K1126" s="331"/>
      <c r="O1126" s="1"/>
    </row>
    <row r="1127" spans="2:15" s="12" customFormat="1">
      <c r="B1127" s="146"/>
      <c r="D1127" s="142" t="s">
        <v>95</v>
      </c>
      <c r="E1127" s="342" t="s">
        <v>2</v>
      </c>
      <c r="F1127" s="343" t="s">
        <v>96</v>
      </c>
      <c r="H1127" s="149">
        <f>SUM(H1126:H1126)</f>
        <v>14</v>
      </c>
      <c r="K1127" s="331"/>
      <c r="O1127" s="1"/>
    </row>
    <row r="1128" spans="2:15" s="163" customFormat="1" ht="22.9" customHeight="1">
      <c r="B1128" s="254"/>
      <c r="C1128" s="258">
        <f>C1125+1</f>
        <v>255</v>
      </c>
      <c r="D1128" s="258" t="s">
        <v>65</v>
      </c>
      <c r="E1128" s="259" t="s">
        <v>728</v>
      </c>
      <c r="F1128" s="270" t="s">
        <v>1209</v>
      </c>
      <c r="G1128" s="258" t="s">
        <v>265</v>
      </c>
      <c r="H1128" s="269">
        <f>H1130</f>
        <v>2</v>
      </c>
      <c r="I1128" s="281"/>
      <c r="J1128" s="272">
        <f t="shared" ref="J1128" si="99">ROUND(I1128*H1128,2)</f>
        <v>0</v>
      </c>
      <c r="K1128" s="284"/>
    </row>
    <row r="1129" spans="2:15" s="11" customFormat="1">
      <c r="B1129" s="141"/>
      <c r="D1129" s="142" t="s">
        <v>95</v>
      </c>
      <c r="F1129" s="144" t="s">
        <v>1154</v>
      </c>
      <c r="H1129" s="145">
        <f>2</f>
        <v>2</v>
      </c>
      <c r="K1129" s="331"/>
      <c r="O1129" s="1"/>
    </row>
    <row r="1130" spans="2:15" s="12" customFormat="1">
      <c r="B1130" s="146"/>
      <c r="D1130" s="142" t="s">
        <v>95</v>
      </c>
      <c r="E1130" s="342" t="s">
        <v>2</v>
      </c>
      <c r="F1130" s="343" t="s">
        <v>96</v>
      </c>
      <c r="H1130" s="149">
        <f>SUM(H1129:H1129)</f>
        <v>2</v>
      </c>
      <c r="K1130" s="331"/>
      <c r="O1130" s="1"/>
    </row>
    <row r="1131" spans="2:15" s="163" customFormat="1" ht="22.9" customHeight="1">
      <c r="B1131" s="254"/>
      <c r="C1131" s="258">
        <f>C1128+1</f>
        <v>256</v>
      </c>
      <c r="D1131" s="258" t="s">
        <v>65</v>
      </c>
      <c r="E1131" s="259" t="s">
        <v>729</v>
      </c>
      <c r="F1131" s="270" t="s">
        <v>1210</v>
      </c>
      <c r="G1131" s="258" t="s">
        <v>265</v>
      </c>
      <c r="H1131" s="269">
        <f>H1133</f>
        <v>2</v>
      </c>
      <c r="I1131" s="281"/>
      <c r="J1131" s="272">
        <f t="shared" ref="J1131" si="100">ROUND(I1131*H1131,2)</f>
        <v>0</v>
      </c>
      <c r="K1131" s="284"/>
    </row>
    <row r="1132" spans="2:15" s="11" customFormat="1">
      <c r="B1132" s="141"/>
      <c r="D1132" s="142" t="s">
        <v>95</v>
      </c>
      <c r="F1132" s="144" t="s">
        <v>1154</v>
      </c>
      <c r="H1132" s="145">
        <f>2</f>
        <v>2</v>
      </c>
      <c r="K1132" s="331"/>
      <c r="O1132" s="1"/>
    </row>
    <row r="1133" spans="2:15" s="12" customFormat="1">
      <c r="B1133" s="146"/>
      <c r="D1133" s="142" t="s">
        <v>95</v>
      </c>
      <c r="E1133" s="342" t="s">
        <v>2</v>
      </c>
      <c r="F1133" s="343" t="s">
        <v>96</v>
      </c>
      <c r="H1133" s="149">
        <f>SUM(H1132:H1132)</f>
        <v>2</v>
      </c>
      <c r="K1133" s="331"/>
      <c r="O1133" s="1"/>
    </row>
    <row r="1134" spans="2:15" s="163" customFormat="1" ht="22.9" customHeight="1">
      <c r="B1134" s="254"/>
      <c r="C1134" s="258">
        <f>C1131+1</f>
        <v>257</v>
      </c>
      <c r="D1134" s="258" t="s">
        <v>65</v>
      </c>
      <c r="E1134" s="259" t="s">
        <v>730</v>
      </c>
      <c r="F1134" s="270" t="s">
        <v>1211</v>
      </c>
      <c r="G1134" s="258" t="s">
        <v>265</v>
      </c>
      <c r="H1134" s="269">
        <f>H1136</f>
        <v>1</v>
      </c>
      <c r="I1134" s="281"/>
      <c r="J1134" s="272">
        <f t="shared" ref="J1134" si="101">ROUND(I1134*H1134,2)</f>
        <v>0</v>
      </c>
      <c r="K1134" s="284"/>
    </row>
    <row r="1135" spans="2:15" s="11" customFormat="1">
      <c r="B1135" s="141"/>
      <c r="D1135" s="142" t="s">
        <v>95</v>
      </c>
      <c r="F1135" s="144" t="s">
        <v>1151</v>
      </c>
      <c r="H1135" s="145">
        <f>1</f>
        <v>1</v>
      </c>
      <c r="K1135" s="331"/>
      <c r="O1135" s="1"/>
    </row>
    <row r="1136" spans="2:15" s="12" customFormat="1">
      <c r="B1136" s="146"/>
      <c r="D1136" s="142" t="s">
        <v>95</v>
      </c>
      <c r="E1136" s="342" t="s">
        <v>2</v>
      </c>
      <c r="F1136" s="343" t="s">
        <v>96</v>
      </c>
      <c r="H1136" s="149">
        <f>SUM(H1135:H1135)</f>
        <v>1</v>
      </c>
      <c r="K1136" s="331"/>
      <c r="O1136" s="1"/>
    </row>
    <row r="1137" spans="2:15" s="163" customFormat="1" ht="22.9" customHeight="1">
      <c r="B1137" s="254"/>
      <c r="C1137" s="258">
        <f>C1134+1</f>
        <v>258</v>
      </c>
      <c r="D1137" s="258" t="s">
        <v>65</v>
      </c>
      <c r="E1137" s="259" t="s">
        <v>731</v>
      </c>
      <c r="F1137" s="270" t="s">
        <v>1212</v>
      </c>
      <c r="G1137" s="258" t="s">
        <v>265</v>
      </c>
      <c r="H1137" s="269">
        <f>H1141</f>
        <v>3</v>
      </c>
      <c r="I1137" s="281"/>
      <c r="J1137" s="272">
        <f t="shared" ref="J1137" si="102">ROUND(I1137*H1137,2)</f>
        <v>0</v>
      </c>
      <c r="K1137" s="284"/>
    </row>
    <row r="1138" spans="2:15" s="11" customFormat="1">
      <c r="B1138" s="141"/>
      <c r="D1138" s="142" t="s">
        <v>95</v>
      </c>
      <c r="F1138" s="144" t="s">
        <v>1852</v>
      </c>
      <c r="H1138" s="145">
        <f>1</f>
        <v>1</v>
      </c>
      <c r="K1138" s="331"/>
      <c r="O1138" s="1"/>
    </row>
    <row r="1139" spans="2:15" s="11" customFormat="1">
      <c r="B1139" s="141"/>
      <c r="D1139" s="142" t="s">
        <v>95</v>
      </c>
      <c r="F1139" s="144" t="s">
        <v>1851</v>
      </c>
      <c r="H1139" s="145">
        <f>1</f>
        <v>1</v>
      </c>
      <c r="K1139" s="331"/>
      <c r="O1139" s="1"/>
    </row>
    <row r="1140" spans="2:15" s="11" customFormat="1">
      <c r="B1140" s="141"/>
      <c r="D1140" s="142" t="s">
        <v>95</v>
      </c>
      <c r="F1140" s="144" t="s">
        <v>1850</v>
      </c>
      <c r="H1140" s="145">
        <f>1</f>
        <v>1</v>
      </c>
      <c r="K1140" s="331"/>
      <c r="O1140" s="1"/>
    </row>
    <row r="1141" spans="2:15" s="12" customFormat="1">
      <c r="B1141" s="146"/>
      <c r="D1141" s="142" t="s">
        <v>95</v>
      </c>
      <c r="E1141" s="342" t="s">
        <v>2</v>
      </c>
      <c r="F1141" s="343" t="s">
        <v>96</v>
      </c>
      <c r="H1141" s="149">
        <f>SUM(H1138:H1140)</f>
        <v>3</v>
      </c>
      <c r="K1141" s="331"/>
      <c r="O1141" s="1"/>
    </row>
    <row r="1142" spans="2:15" s="163" customFormat="1" ht="22.9" customHeight="1">
      <c r="B1142" s="254"/>
      <c r="C1142" s="258">
        <f>C1137+1</f>
        <v>259</v>
      </c>
      <c r="D1142" s="258" t="s">
        <v>65</v>
      </c>
      <c r="E1142" s="259" t="s">
        <v>1188</v>
      </c>
      <c r="F1142" s="270" t="s">
        <v>1213</v>
      </c>
      <c r="G1142" s="258" t="s">
        <v>265</v>
      </c>
      <c r="H1142" s="269">
        <f>H1144</f>
        <v>6</v>
      </c>
      <c r="I1142" s="281"/>
      <c r="J1142" s="272">
        <f t="shared" ref="J1142" si="103">ROUND(I1142*H1142,2)</f>
        <v>0</v>
      </c>
      <c r="K1142" s="284"/>
    </row>
    <row r="1143" spans="2:15" s="11" customFormat="1">
      <c r="B1143" s="141"/>
      <c r="D1143" s="142" t="s">
        <v>95</v>
      </c>
      <c r="F1143" s="144" t="s">
        <v>1849</v>
      </c>
      <c r="H1143" s="145">
        <f>6</f>
        <v>6</v>
      </c>
      <c r="K1143" s="331"/>
      <c r="O1143" s="1"/>
    </row>
    <row r="1144" spans="2:15" s="12" customFormat="1">
      <c r="B1144" s="146"/>
      <c r="D1144" s="142" t="s">
        <v>95</v>
      </c>
      <c r="E1144" s="342" t="s">
        <v>2</v>
      </c>
      <c r="F1144" s="343" t="s">
        <v>96</v>
      </c>
      <c r="H1144" s="149">
        <f>SUM(H1143:H1143)</f>
        <v>6</v>
      </c>
      <c r="K1144" s="331"/>
      <c r="O1144" s="1"/>
    </row>
    <row r="1145" spans="2:15" s="163" customFormat="1" ht="22.9" customHeight="1">
      <c r="B1145" s="254"/>
      <c r="C1145" s="258">
        <f>C1142+1</f>
        <v>260</v>
      </c>
      <c r="D1145" s="258" t="s">
        <v>65</v>
      </c>
      <c r="E1145" s="259" t="s">
        <v>1189</v>
      </c>
      <c r="F1145" s="270" t="s">
        <v>1879</v>
      </c>
      <c r="G1145" s="258" t="s">
        <v>181</v>
      </c>
      <c r="H1145" s="269">
        <f>H1149</f>
        <v>4</v>
      </c>
      <c r="I1145" s="281"/>
      <c r="J1145" s="272">
        <f t="shared" ref="J1145" si="104">ROUND(I1145*H1145,2)</f>
        <v>0</v>
      </c>
      <c r="K1145" s="284"/>
    </row>
    <row r="1146" spans="2:15" s="11" customFormat="1">
      <c r="B1146" s="141"/>
      <c r="D1146" s="142" t="s">
        <v>95</v>
      </c>
      <c r="F1146" s="144" t="s">
        <v>1848</v>
      </c>
      <c r="H1146" s="145">
        <f>(1+1)</f>
        <v>2</v>
      </c>
      <c r="K1146" s="331"/>
      <c r="O1146" s="1"/>
    </row>
    <row r="1147" spans="2:15" s="11" customFormat="1">
      <c r="B1147" s="141"/>
      <c r="D1147" s="142" t="s">
        <v>95</v>
      </c>
      <c r="F1147" s="144" t="s">
        <v>1847</v>
      </c>
      <c r="H1147" s="145">
        <f>1</f>
        <v>1</v>
      </c>
      <c r="K1147" s="331"/>
      <c r="O1147" s="1"/>
    </row>
    <row r="1148" spans="2:15" s="11" customFormat="1">
      <c r="B1148" s="141"/>
      <c r="D1148" s="142" t="s">
        <v>95</v>
      </c>
      <c r="F1148" s="144" t="s">
        <v>1846</v>
      </c>
      <c r="H1148" s="145">
        <f>1</f>
        <v>1</v>
      </c>
      <c r="K1148" s="331"/>
      <c r="O1148" s="1"/>
    </row>
    <row r="1149" spans="2:15" s="12" customFormat="1">
      <c r="B1149" s="146"/>
      <c r="D1149" s="142" t="s">
        <v>95</v>
      </c>
      <c r="E1149" s="342" t="s">
        <v>2</v>
      </c>
      <c r="F1149" s="343" t="s">
        <v>96</v>
      </c>
      <c r="H1149" s="149">
        <f>SUM(H1146:H1148)</f>
        <v>4</v>
      </c>
      <c r="K1149" s="331"/>
      <c r="O1149" s="1"/>
    </row>
    <row r="1150" spans="2:15" s="163" customFormat="1" ht="22.9" customHeight="1">
      <c r="B1150" s="254"/>
      <c r="C1150" s="258">
        <f>C1145+1</f>
        <v>261</v>
      </c>
      <c r="D1150" s="258" t="s">
        <v>65</v>
      </c>
      <c r="E1150" s="259" t="s">
        <v>1884</v>
      </c>
      <c r="F1150" s="270" t="s">
        <v>1218</v>
      </c>
      <c r="G1150" s="258" t="s">
        <v>265</v>
      </c>
      <c r="H1150" s="269">
        <f>H1154</f>
        <v>19</v>
      </c>
      <c r="I1150" s="281"/>
      <c r="J1150" s="272">
        <f t="shared" ref="J1150" si="105">ROUND(I1150*H1150,2)</f>
        <v>0</v>
      </c>
      <c r="K1150" s="284"/>
    </row>
    <row r="1151" spans="2:15" s="11" customFormat="1" ht="27">
      <c r="B1151" s="141"/>
      <c r="D1151" s="142" t="s">
        <v>95</v>
      </c>
      <c r="F1151" s="144" t="s">
        <v>2352</v>
      </c>
      <c r="H1151" s="145">
        <f>(2+1+3+1+1+1+1+1)</f>
        <v>11</v>
      </c>
      <c r="K1151" s="331"/>
      <c r="O1151" s="1"/>
    </row>
    <row r="1152" spans="2:15" s="11" customFormat="1">
      <c r="B1152" s="141"/>
      <c r="D1152" s="142" t="s">
        <v>95</v>
      </c>
      <c r="F1152" s="144" t="s">
        <v>1845</v>
      </c>
      <c r="H1152" s="145">
        <f>(3)</f>
        <v>3</v>
      </c>
      <c r="K1152" s="331"/>
      <c r="O1152" s="1"/>
    </row>
    <row r="1153" spans="2:15" s="11" customFormat="1" ht="27">
      <c r="B1153" s="141"/>
      <c r="D1153" s="142" t="s">
        <v>95</v>
      </c>
      <c r="F1153" s="144" t="s">
        <v>1844</v>
      </c>
      <c r="H1153" s="145">
        <f>(1+1+1+2)</f>
        <v>5</v>
      </c>
      <c r="K1153" s="331"/>
      <c r="O1153" s="1"/>
    </row>
    <row r="1154" spans="2:15" s="12" customFormat="1">
      <c r="B1154" s="146"/>
      <c r="D1154" s="142" t="s">
        <v>95</v>
      </c>
      <c r="E1154" s="342" t="s">
        <v>2</v>
      </c>
      <c r="F1154" s="343" t="s">
        <v>96</v>
      </c>
      <c r="H1154" s="149">
        <f>SUM(H1151:H1153)</f>
        <v>19</v>
      </c>
      <c r="K1154" s="331"/>
      <c r="O1154" s="1"/>
    </row>
    <row r="1155" spans="2:15" s="163" customFormat="1" ht="27">
      <c r="B1155" s="254"/>
      <c r="C1155" s="258">
        <f>C1150+1</f>
        <v>262</v>
      </c>
      <c r="D1155" s="258" t="s">
        <v>65</v>
      </c>
      <c r="E1155" s="259" t="s">
        <v>1885</v>
      </c>
      <c r="F1155" s="273" t="s">
        <v>1880</v>
      </c>
      <c r="G1155" s="258" t="s">
        <v>265</v>
      </c>
      <c r="H1155" s="269">
        <f>H1157</f>
        <v>1</v>
      </c>
      <c r="I1155" s="281"/>
      <c r="J1155" s="272">
        <f t="shared" ref="J1155" si="106">ROUND(I1155*H1155,2)</f>
        <v>0</v>
      </c>
      <c r="K1155" s="284"/>
    </row>
    <row r="1156" spans="2:15" s="11" customFormat="1">
      <c r="B1156" s="141"/>
      <c r="D1156" s="142" t="s">
        <v>95</v>
      </c>
      <c r="F1156" s="144" t="s">
        <v>1843</v>
      </c>
      <c r="H1156" s="145">
        <f>1</f>
        <v>1</v>
      </c>
      <c r="K1156" s="331"/>
      <c r="O1156" s="1"/>
    </row>
    <row r="1157" spans="2:15" s="12" customFormat="1">
      <c r="B1157" s="146"/>
      <c r="D1157" s="142" t="s">
        <v>95</v>
      </c>
      <c r="E1157" s="342" t="s">
        <v>2</v>
      </c>
      <c r="F1157" s="343" t="s">
        <v>96</v>
      </c>
      <c r="H1157" s="149">
        <f>SUM(H1156:H1156)</f>
        <v>1</v>
      </c>
      <c r="K1157" s="331"/>
      <c r="O1157" s="1"/>
    </row>
    <row r="1158" spans="2:15" s="163" customFormat="1" ht="22.9" customHeight="1">
      <c r="B1158" s="254"/>
      <c r="C1158" s="258">
        <f>C1155+1</f>
        <v>263</v>
      </c>
      <c r="D1158" s="258" t="s">
        <v>65</v>
      </c>
      <c r="E1158" s="259" t="s">
        <v>1886</v>
      </c>
      <c r="F1158" s="270" t="s">
        <v>1217</v>
      </c>
      <c r="G1158" s="258" t="s">
        <v>265</v>
      </c>
      <c r="H1158" s="269">
        <f>H1162</f>
        <v>15</v>
      </c>
      <c r="I1158" s="281"/>
      <c r="J1158" s="272">
        <f t="shared" ref="J1158" si="107">ROUND(I1158*H1158,2)</f>
        <v>0</v>
      </c>
      <c r="K1158" s="284"/>
    </row>
    <row r="1159" spans="2:15" s="11" customFormat="1">
      <c r="B1159" s="141"/>
      <c r="D1159" s="142" t="s">
        <v>95</v>
      </c>
      <c r="F1159" s="144" t="s">
        <v>1899</v>
      </c>
      <c r="H1159" s="145">
        <f>(2+1+2)</f>
        <v>5</v>
      </c>
      <c r="K1159" s="331"/>
      <c r="O1159" s="1"/>
    </row>
    <row r="1160" spans="2:15" s="11" customFormat="1">
      <c r="B1160" s="141"/>
      <c r="D1160" s="142" t="s">
        <v>95</v>
      </c>
      <c r="F1160" s="144" t="s">
        <v>1900</v>
      </c>
      <c r="H1160" s="145">
        <f>(2)</f>
        <v>2</v>
      </c>
      <c r="K1160" s="331"/>
      <c r="O1160" s="1"/>
    </row>
    <row r="1161" spans="2:15" s="11" customFormat="1" ht="27">
      <c r="B1161" s="141"/>
      <c r="D1161" s="142" t="s">
        <v>95</v>
      </c>
      <c r="F1161" s="144" t="s">
        <v>1904</v>
      </c>
      <c r="H1161" s="145">
        <f>(3+1+4)</f>
        <v>8</v>
      </c>
      <c r="K1161" s="331"/>
      <c r="O1161" s="1"/>
    </row>
    <row r="1162" spans="2:15" s="12" customFormat="1">
      <c r="B1162" s="146"/>
      <c r="D1162" s="142" t="s">
        <v>95</v>
      </c>
      <c r="E1162" s="342" t="s">
        <v>2</v>
      </c>
      <c r="F1162" s="343" t="s">
        <v>96</v>
      </c>
      <c r="H1162" s="149">
        <f>SUM(H1159:H1161)</f>
        <v>15</v>
      </c>
      <c r="K1162" s="331"/>
      <c r="O1162" s="1"/>
    </row>
    <row r="1163" spans="2:15" s="163" customFormat="1" ht="22.9" customHeight="1">
      <c r="B1163" s="254"/>
      <c r="C1163" s="258">
        <f>C1158+1</f>
        <v>264</v>
      </c>
      <c r="D1163" s="258" t="s">
        <v>65</v>
      </c>
      <c r="E1163" s="259" t="s">
        <v>1890</v>
      </c>
      <c r="F1163" s="270" t="s">
        <v>1916</v>
      </c>
      <c r="G1163" s="258" t="s">
        <v>265</v>
      </c>
      <c r="H1163" s="269">
        <f>H1165</f>
        <v>11</v>
      </c>
      <c r="I1163" s="281"/>
      <c r="J1163" s="272">
        <f t="shared" ref="J1163" si="108">ROUND(I1163*H1163,2)</f>
        <v>0</v>
      </c>
      <c r="K1163" s="284"/>
    </row>
    <row r="1164" spans="2:15" s="11" customFormat="1">
      <c r="B1164" s="141"/>
      <c r="D1164" s="142" t="s">
        <v>95</v>
      </c>
      <c r="F1164" s="144" t="s">
        <v>1901</v>
      </c>
      <c r="H1164" s="145">
        <f>(11)</f>
        <v>11</v>
      </c>
      <c r="K1164" s="331"/>
      <c r="O1164" s="1"/>
    </row>
    <row r="1165" spans="2:15" s="12" customFormat="1">
      <c r="B1165" s="146"/>
      <c r="D1165" s="142" t="s">
        <v>95</v>
      </c>
      <c r="E1165" s="342" t="s">
        <v>2</v>
      </c>
      <c r="F1165" s="343" t="s">
        <v>96</v>
      </c>
      <c r="H1165" s="149">
        <f>SUM(H1164:H1164)</f>
        <v>11</v>
      </c>
      <c r="K1165" s="331"/>
      <c r="O1165" s="1"/>
    </row>
    <row r="1166" spans="2:15" s="163" customFormat="1" ht="22.9" customHeight="1">
      <c r="B1166" s="254"/>
      <c r="C1166" s="258">
        <f>C1163+1</f>
        <v>265</v>
      </c>
      <c r="D1166" s="258" t="s">
        <v>65</v>
      </c>
      <c r="E1166" s="259" t="s">
        <v>1891</v>
      </c>
      <c r="F1166" s="270" t="s">
        <v>1915</v>
      </c>
      <c r="G1166" s="258" t="s">
        <v>265</v>
      </c>
      <c r="H1166" s="269">
        <f>H1170</f>
        <v>34</v>
      </c>
      <c r="I1166" s="281"/>
      <c r="J1166" s="272">
        <f t="shared" ref="J1166" si="109">ROUND(I1166*H1166,2)</f>
        <v>0</v>
      </c>
      <c r="K1166" s="284"/>
    </row>
    <row r="1167" spans="2:15" s="11" customFormat="1" ht="27">
      <c r="B1167" s="141"/>
      <c r="D1167" s="142" t="s">
        <v>95</v>
      </c>
      <c r="F1167" s="144" t="s">
        <v>2353</v>
      </c>
      <c r="H1167" s="145">
        <f>(1+1+1+1)</f>
        <v>4</v>
      </c>
      <c r="K1167" s="331"/>
      <c r="O1167" s="1"/>
    </row>
    <row r="1168" spans="2:15" s="11" customFormat="1">
      <c r="B1168" s="141"/>
      <c r="D1168" s="142" t="s">
        <v>95</v>
      </c>
      <c r="F1168" s="144" t="s">
        <v>1903</v>
      </c>
      <c r="H1168" s="145">
        <f>(1)</f>
        <v>1</v>
      </c>
      <c r="K1168" s="331"/>
      <c r="O1168" s="1"/>
    </row>
    <row r="1169" spans="2:15" s="11" customFormat="1" ht="27">
      <c r="B1169" s="141"/>
      <c r="D1169" s="142" t="s">
        <v>95</v>
      </c>
      <c r="F1169" s="144" t="s">
        <v>1905</v>
      </c>
      <c r="H1169" s="145">
        <f>(1+5+23)</f>
        <v>29</v>
      </c>
      <c r="K1169" s="331"/>
      <c r="O1169" s="1"/>
    </row>
    <row r="1170" spans="2:15" s="12" customFormat="1">
      <c r="B1170" s="146"/>
      <c r="D1170" s="142" t="s">
        <v>95</v>
      </c>
      <c r="E1170" s="147" t="s">
        <v>2</v>
      </c>
      <c r="F1170" s="148" t="s">
        <v>96</v>
      </c>
      <c r="H1170" s="149">
        <f>SUM(H1167:H1169)</f>
        <v>34</v>
      </c>
      <c r="K1170" s="331"/>
      <c r="O1170" s="1"/>
    </row>
    <row r="1171" spans="2:15" s="163" customFormat="1" ht="27">
      <c r="B1171" s="254"/>
      <c r="C1171" s="258">
        <f>C1166+1</f>
        <v>266</v>
      </c>
      <c r="D1171" s="258" t="s">
        <v>65</v>
      </c>
      <c r="E1171" s="259" t="s">
        <v>1892</v>
      </c>
      <c r="F1171" s="273" t="s">
        <v>1917</v>
      </c>
      <c r="G1171" s="258" t="s">
        <v>265</v>
      </c>
      <c r="H1171" s="269">
        <f>H1173</f>
        <v>20</v>
      </c>
      <c r="I1171" s="281"/>
      <c r="J1171" s="272">
        <f t="shared" ref="J1171" si="110">ROUND(I1171*H1171,2)</f>
        <v>0</v>
      </c>
      <c r="K1171" s="284"/>
    </row>
    <row r="1172" spans="2:15" s="11" customFormat="1">
      <c r="B1172" s="141"/>
      <c r="D1172" s="142" t="s">
        <v>95</v>
      </c>
      <c r="F1172" s="144" t="s">
        <v>1908</v>
      </c>
      <c r="H1172" s="145">
        <f>20</f>
        <v>20</v>
      </c>
      <c r="K1172" s="331"/>
      <c r="O1172" s="1"/>
    </row>
    <row r="1173" spans="2:15" s="12" customFormat="1">
      <c r="B1173" s="146"/>
      <c r="D1173" s="142" t="s">
        <v>95</v>
      </c>
      <c r="E1173" s="342" t="s">
        <v>2</v>
      </c>
      <c r="F1173" s="343" t="s">
        <v>96</v>
      </c>
      <c r="H1173" s="149">
        <f>SUM(H1172:H1172)</f>
        <v>20</v>
      </c>
      <c r="K1173" s="331"/>
      <c r="O1173" s="1"/>
    </row>
    <row r="1174" spans="2:15" s="163" customFormat="1">
      <c r="B1174" s="254"/>
      <c r="C1174" s="258">
        <f>C1171+1</f>
        <v>267</v>
      </c>
      <c r="D1174" s="258" t="s">
        <v>65</v>
      </c>
      <c r="E1174" s="259" t="s">
        <v>1893</v>
      </c>
      <c r="F1174" s="273" t="s">
        <v>2313</v>
      </c>
      <c r="G1174" s="258" t="s">
        <v>155</v>
      </c>
      <c r="H1174" s="269">
        <f>H1176</f>
        <v>10</v>
      </c>
      <c r="I1174" s="281"/>
      <c r="J1174" s="272">
        <f t="shared" ref="J1174" si="111">ROUND(I1174*H1174,2)</f>
        <v>0</v>
      </c>
      <c r="K1174" s="284"/>
    </row>
    <row r="1175" spans="2:15" s="11" customFormat="1">
      <c r="B1175" s="141"/>
      <c r="D1175" s="142" t="s">
        <v>95</v>
      </c>
      <c r="F1175" s="144" t="s">
        <v>2307</v>
      </c>
      <c r="H1175" s="145">
        <v>10</v>
      </c>
      <c r="K1175" s="331"/>
      <c r="O1175" s="1"/>
    </row>
    <row r="1176" spans="2:15" s="12" customFormat="1">
      <c r="B1176" s="146"/>
      <c r="D1176" s="142" t="s">
        <v>95</v>
      </c>
      <c r="E1176" s="342" t="s">
        <v>2</v>
      </c>
      <c r="F1176" s="343" t="s">
        <v>96</v>
      </c>
      <c r="H1176" s="149">
        <f>SUM(H1175:H1175)</f>
        <v>10</v>
      </c>
      <c r="K1176" s="331"/>
      <c r="O1176" s="1"/>
    </row>
    <row r="1177" spans="2:15" s="163" customFormat="1">
      <c r="B1177" s="254"/>
      <c r="C1177" s="258">
        <f>C1174+1</f>
        <v>268</v>
      </c>
      <c r="D1177" s="258" t="s">
        <v>65</v>
      </c>
      <c r="E1177" s="259" t="s">
        <v>1894</v>
      </c>
      <c r="F1177" s="273" t="s">
        <v>1918</v>
      </c>
      <c r="G1177" s="258" t="s">
        <v>265</v>
      </c>
      <c r="H1177" s="269">
        <f>H1179</f>
        <v>7</v>
      </c>
      <c r="I1177" s="281"/>
      <c r="J1177" s="272">
        <f t="shared" ref="J1177" si="112">ROUND(I1177*H1177,2)</f>
        <v>0</v>
      </c>
      <c r="K1177" s="284"/>
    </row>
    <row r="1178" spans="2:15" s="11" customFormat="1">
      <c r="B1178" s="141"/>
      <c r="D1178" s="142" t="s">
        <v>95</v>
      </c>
      <c r="F1178" s="144" t="s">
        <v>1910</v>
      </c>
      <c r="H1178" s="145">
        <f>7</f>
        <v>7</v>
      </c>
      <c r="K1178" s="331"/>
      <c r="O1178" s="1"/>
    </row>
    <row r="1179" spans="2:15" s="12" customFormat="1">
      <c r="B1179" s="146"/>
      <c r="D1179" s="142" t="s">
        <v>95</v>
      </c>
      <c r="E1179" s="342" t="s">
        <v>2</v>
      </c>
      <c r="F1179" s="343" t="s">
        <v>96</v>
      </c>
      <c r="H1179" s="149">
        <f>SUM(H1178:H1178)</f>
        <v>7</v>
      </c>
      <c r="K1179" s="331"/>
      <c r="O1179" s="1"/>
    </row>
    <row r="1180" spans="2:15" s="163" customFormat="1" ht="27">
      <c r="B1180" s="254"/>
      <c r="C1180" s="258">
        <f>C1177+1</f>
        <v>269</v>
      </c>
      <c r="D1180" s="258" t="s">
        <v>65</v>
      </c>
      <c r="E1180" s="259" t="s">
        <v>1919</v>
      </c>
      <c r="F1180" s="273" t="s">
        <v>1932</v>
      </c>
      <c r="G1180" s="258" t="s">
        <v>265</v>
      </c>
      <c r="H1180" s="269">
        <f>H1182</f>
        <v>1</v>
      </c>
      <c r="I1180" s="281"/>
      <c r="J1180" s="272">
        <f t="shared" ref="J1180" si="113">ROUND(I1180*H1180,2)</f>
        <v>0</v>
      </c>
      <c r="K1180" s="284"/>
    </row>
    <row r="1181" spans="2:15" s="11" customFormat="1">
      <c r="B1181" s="141"/>
      <c r="D1181" s="142" t="s">
        <v>95</v>
      </c>
      <c r="F1181" s="144" t="s">
        <v>1843</v>
      </c>
      <c r="H1181" s="145">
        <f>1</f>
        <v>1</v>
      </c>
      <c r="K1181" s="331"/>
      <c r="O1181" s="1"/>
    </row>
    <row r="1182" spans="2:15" s="12" customFormat="1">
      <c r="B1182" s="146"/>
      <c r="D1182" s="142" t="s">
        <v>95</v>
      </c>
      <c r="E1182" s="342" t="s">
        <v>2</v>
      </c>
      <c r="F1182" s="343" t="s">
        <v>96</v>
      </c>
      <c r="H1182" s="149">
        <f>SUM(H1181:H1181)</f>
        <v>1</v>
      </c>
      <c r="K1182" s="331"/>
      <c r="O1182" s="1"/>
    </row>
    <row r="1183" spans="2:15" s="163" customFormat="1" ht="22.9" customHeight="1">
      <c r="B1183" s="254"/>
      <c r="C1183" s="258">
        <f>C1180+1</f>
        <v>270</v>
      </c>
      <c r="D1183" s="258" t="s">
        <v>65</v>
      </c>
      <c r="E1183" s="136" t="s">
        <v>1920</v>
      </c>
      <c r="F1183" s="270" t="s">
        <v>1883</v>
      </c>
      <c r="G1183" s="258" t="s">
        <v>155</v>
      </c>
      <c r="H1183" s="269">
        <f>H1185</f>
        <v>94</v>
      </c>
      <c r="I1183" s="281"/>
      <c r="J1183" s="272">
        <f t="shared" ref="J1183" si="114">ROUND(I1183*H1183,2)</f>
        <v>0</v>
      </c>
      <c r="K1183" s="284"/>
    </row>
    <row r="1184" spans="2:15" s="11" customFormat="1">
      <c r="B1184" s="141"/>
      <c r="D1184" s="142" t="s">
        <v>95</v>
      </c>
      <c r="F1184" s="144" t="s">
        <v>1840</v>
      </c>
      <c r="H1184" s="145">
        <f>94</f>
        <v>94</v>
      </c>
      <c r="K1184" s="331"/>
      <c r="O1184" s="1"/>
    </row>
    <row r="1185" spans="2:15" s="12" customFormat="1">
      <c r="B1185" s="146"/>
      <c r="D1185" s="142" t="s">
        <v>95</v>
      </c>
      <c r="E1185" s="342" t="s">
        <v>2</v>
      </c>
      <c r="F1185" s="343" t="s">
        <v>96</v>
      </c>
      <c r="H1185" s="149">
        <f>SUM(H1184:H1184)</f>
        <v>94</v>
      </c>
      <c r="K1185" s="331"/>
      <c r="O1185" s="1"/>
    </row>
    <row r="1186" spans="2:15" s="163" customFormat="1" ht="22.9" customHeight="1">
      <c r="B1186" s="254"/>
      <c r="C1186" s="258">
        <f>C1183+1</f>
        <v>271</v>
      </c>
      <c r="D1186" s="258" t="s">
        <v>65</v>
      </c>
      <c r="E1186" s="136" t="s">
        <v>1921</v>
      </c>
      <c r="F1186" s="270" t="s">
        <v>1882</v>
      </c>
      <c r="G1186" s="258" t="s">
        <v>155</v>
      </c>
      <c r="H1186" s="269">
        <f>H1188</f>
        <v>144</v>
      </c>
      <c r="I1186" s="281"/>
      <c r="J1186" s="272">
        <f t="shared" ref="J1186" si="115">ROUND(I1186*H1186,2)</f>
        <v>0</v>
      </c>
      <c r="K1186" s="284"/>
    </row>
    <row r="1187" spans="2:15" s="11" customFormat="1">
      <c r="B1187" s="141"/>
      <c r="D1187" s="142" t="s">
        <v>95</v>
      </c>
      <c r="F1187" s="144" t="s">
        <v>1839</v>
      </c>
      <c r="H1187" s="145">
        <f>144</f>
        <v>144</v>
      </c>
      <c r="K1187" s="331"/>
      <c r="O1187" s="1"/>
    </row>
    <row r="1188" spans="2:15" s="12" customFormat="1">
      <c r="B1188" s="146"/>
      <c r="D1188" s="142" t="s">
        <v>95</v>
      </c>
      <c r="E1188" s="342" t="s">
        <v>2</v>
      </c>
      <c r="F1188" s="343" t="s">
        <v>96</v>
      </c>
      <c r="H1188" s="149">
        <f>SUM(H1187:H1187)</f>
        <v>144</v>
      </c>
      <c r="K1188" s="331"/>
      <c r="O1188" s="1"/>
    </row>
    <row r="1189" spans="2:15" s="163" customFormat="1" ht="22.9" customHeight="1">
      <c r="B1189" s="254"/>
      <c r="C1189" s="258">
        <f>C1186+1</f>
        <v>272</v>
      </c>
      <c r="D1189" s="258" t="s">
        <v>65</v>
      </c>
      <c r="E1189" s="136" t="s">
        <v>1922</v>
      </c>
      <c r="F1189" s="270" t="s">
        <v>1881</v>
      </c>
      <c r="G1189" s="258" t="s">
        <v>155</v>
      </c>
      <c r="H1189" s="269">
        <f>H1191</f>
        <v>10</v>
      </c>
      <c r="I1189" s="281"/>
      <c r="J1189" s="272">
        <f t="shared" ref="J1189" si="116">ROUND(I1189*H1189,2)</f>
        <v>0</v>
      </c>
      <c r="K1189" s="284"/>
    </row>
    <row r="1190" spans="2:15" s="11" customFormat="1">
      <c r="B1190" s="141"/>
      <c r="D1190" s="142" t="s">
        <v>95</v>
      </c>
      <c r="F1190" s="144" t="s">
        <v>1859</v>
      </c>
      <c r="H1190" s="145">
        <f>10</f>
        <v>10</v>
      </c>
      <c r="K1190" s="331"/>
      <c r="O1190" s="1"/>
    </row>
    <row r="1191" spans="2:15" s="12" customFormat="1">
      <c r="B1191" s="146"/>
      <c r="D1191" s="142" t="s">
        <v>95</v>
      </c>
      <c r="E1191" s="342" t="s">
        <v>2</v>
      </c>
      <c r="F1191" s="343" t="s">
        <v>96</v>
      </c>
      <c r="H1191" s="149">
        <f>SUM(H1190:H1190)</f>
        <v>10</v>
      </c>
      <c r="K1191" s="331"/>
      <c r="O1191" s="1"/>
    </row>
    <row r="1192" spans="2:15" s="163" customFormat="1" ht="22.9" customHeight="1">
      <c r="B1192" s="254"/>
      <c r="C1192" s="258">
        <f>C1189+1</f>
        <v>273</v>
      </c>
      <c r="D1192" s="135" t="s">
        <v>65</v>
      </c>
      <c r="E1192" s="136" t="s">
        <v>1923</v>
      </c>
      <c r="F1192" s="270" t="s">
        <v>1245</v>
      </c>
      <c r="G1192" s="258" t="s">
        <v>265</v>
      </c>
      <c r="H1192" s="269">
        <f>H1194</f>
        <v>24</v>
      </c>
      <c r="I1192" s="281"/>
      <c r="J1192" s="140">
        <f t="shared" ref="J1192" si="117">ROUND(I1192*H1192,2)</f>
        <v>0</v>
      </c>
      <c r="K1192" s="137"/>
      <c r="O1192" s="1"/>
    </row>
    <row r="1193" spans="2:15" s="11" customFormat="1">
      <c r="B1193" s="141"/>
      <c r="D1193" s="142" t="s">
        <v>95</v>
      </c>
      <c r="F1193" s="144" t="s">
        <v>1889</v>
      </c>
      <c r="H1193" s="145">
        <f>24</f>
        <v>24</v>
      </c>
      <c r="K1193" s="331"/>
      <c r="O1193" s="1"/>
    </row>
    <row r="1194" spans="2:15" s="12" customFormat="1">
      <c r="B1194" s="146"/>
      <c r="D1194" s="142" t="s">
        <v>95</v>
      </c>
      <c r="E1194" s="342" t="s">
        <v>2</v>
      </c>
      <c r="F1194" s="343" t="s">
        <v>96</v>
      </c>
      <c r="H1194" s="149">
        <f>SUM(H1193:H1193)</f>
        <v>24</v>
      </c>
      <c r="K1194" s="331"/>
      <c r="O1194" s="1"/>
    </row>
    <row r="1195" spans="2:15" s="163" customFormat="1" ht="22.9" customHeight="1">
      <c r="B1195" s="254"/>
      <c r="C1195" s="258">
        <f>C1192+1</f>
        <v>274</v>
      </c>
      <c r="D1195" s="135" t="s">
        <v>65</v>
      </c>
      <c r="E1195" s="136" t="s">
        <v>2312</v>
      </c>
      <c r="F1195" s="270" t="s">
        <v>1246</v>
      </c>
      <c r="G1195" s="258" t="s">
        <v>265</v>
      </c>
      <c r="H1195" s="269">
        <f>H1197</f>
        <v>80</v>
      </c>
      <c r="I1195" s="281"/>
      <c r="J1195" s="140">
        <f t="shared" ref="J1195" si="118">ROUND(I1195*H1195,2)</f>
        <v>0</v>
      </c>
      <c r="K1195" s="137"/>
      <c r="O1195" s="1"/>
    </row>
    <row r="1196" spans="2:15" s="11" customFormat="1">
      <c r="B1196" s="141"/>
      <c r="D1196" s="142" t="s">
        <v>95</v>
      </c>
      <c r="F1196" s="144" t="s">
        <v>1887</v>
      </c>
      <c r="H1196" s="145">
        <f>80</f>
        <v>80</v>
      </c>
      <c r="K1196" s="331"/>
      <c r="O1196" s="1"/>
    </row>
    <row r="1197" spans="2:15" s="12" customFormat="1">
      <c r="B1197" s="146"/>
      <c r="D1197" s="142" t="s">
        <v>95</v>
      </c>
      <c r="E1197" s="342" t="s">
        <v>2</v>
      </c>
      <c r="F1197" s="343" t="s">
        <v>96</v>
      </c>
      <c r="H1197" s="149">
        <f>SUM(H1196:H1196)</f>
        <v>80</v>
      </c>
      <c r="K1197" s="331"/>
      <c r="O1197" s="1"/>
    </row>
    <row r="1198" spans="2:15" s="163" customFormat="1" ht="22.9" customHeight="1">
      <c r="B1198" s="254"/>
      <c r="C1198" s="135">
        <f>C1195+1</f>
        <v>275</v>
      </c>
      <c r="D1198" s="135" t="s">
        <v>65</v>
      </c>
      <c r="E1198" s="136" t="s">
        <v>2367</v>
      </c>
      <c r="F1198" s="270" t="s">
        <v>554</v>
      </c>
      <c r="G1198" s="258" t="s">
        <v>265</v>
      </c>
      <c r="H1198" s="269">
        <f>H1200</f>
        <v>24</v>
      </c>
      <c r="I1198" s="281"/>
      <c r="J1198" s="140">
        <f t="shared" ref="J1198" si="119">ROUND(I1198*H1198,2)</f>
        <v>0</v>
      </c>
      <c r="K1198" s="137"/>
      <c r="O1198" s="1"/>
    </row>
    <row r="1199" spans="2:15" s="11" customFormat="1">
      <c r="B1199" s="141"/>
      <c r="D1199" s="142" t="s">
        <v>95</v>
      </c>
      <c r="F1199" s="144" t="s">
        <v>1888</v>
      </c>
      <c r="H1199" s="145">
        <f>24</f>
        <v>24</v>
      </c>
      <c r="K1199" s="331"/>
      <c r="O1199" s="1"/>
    </row>
    <row r="1200" spans="2:15" s="12" customFormat="1">
      <c r="B1200" s="146"/>
      <c r="D1200" s="142" t="s">
        <v>95</v>
      </c>
      <c r="E1200" s="342" t="s">
        <v>2</v>
      </c>
      <c r="F1200" s="343" t="s">
        <v>96</v>
      </c>
      <c r="H1200" s="149">
        <f>SUM(H1199:H1199)</f>
        <v>24</v>
      </c>
      <c r="K1200" s="331"/>
      <c r="O1200" s="1"/>
    </row>
    <row r="1201" spans="2:15" s="163" customFormat="1" ht="22.9" customHeight="1">
      <c r="B1201" s="254"/>
      <c r="C1201" s="135">
        <f>C1198+1</f>
        <v>276</v>
      </c>
      <c r="D1201" s="135" t="s">
        <v>65</v>
      </c>
      <c r="E1201" s="136" t="s">
        <v>2368</v>
      </c>
      <c r="F1201" s="270" t="s">
        <v>555</v>
      </c>
      <c r="G1201" s="258" t="s">
        <v>265</v>
      </c>
      <c r="H1201" s="269">
        <f>H1203</f>
        <v>18</v>
      </c>
      <c r="I1201" s="281"/>
      <c r="J1201" s="140">
        <f t="shared" ref="J1201" si="120">ROUND(I1201*H1201,2)</f>
        <v>0</v>
      </c>
      <c r="K1201" s="137"/>
      <c r="O1201" s="1"/>
    </row>
    <row r="1202" spans="2:15" s="11" customFormat="1">
      <c r="B1202" s="141"/>
      <c r="D1202" s="142" t="s">
        <v>95</v>
      </c>
      <c r="F1202" s="144" t="s">
        <v>1153</v>
      </c>
      <c r="H1202" s="145">
        <f>18</f>
        <v>18</v>
      </c>
      <c r="K1202" s="331"/>
      <c r="O1202" s="1"/>
    </row>
    <row r="1203" spans="2:15" s="12" customFormat="1">
      <c r="B1203" s="146"/>
      <c r="D1203" s="142" t="s">
        <v>95</v>
      </c>
      <c r="E1203" s="342" t="s">
        <v>2</v>
      </c>
      <c r="F1203" s="343" t="s">
        <v>96</v>
      </c>
      <c r="H1203" s="149">
        <f>SUM(H1202:H1202)</f>
        <v>18</v>
      </c>
      <c r="K1203" s="331"/>
      <c r="O1203" s="1"/>
    </row>
    <row r="1204" spans="2:15" s="163" customFormat="1" ht="22.9" customHeight="1">
      <c r="B1204" s="254"/>
      <c r="C1204" s="135">
        <f>C1201+1</f>
        <v>277</v>
      </c>
      <c r="D1204" s="135" t="s">
        <v>643</v>
      </c>
      <c r="E1204" s="136" t="s">
        <v>2372</v>
      </c>
      <c r="F1204" s="270" t="s">
        <v>556</v>
      </c>
      <c r="G1204" s="258" t="s">
        <v>261</v>
      </c>
      <c r="H1204" s="272">
        <f>SUM(J1058:J1203)</f>
        <v>0</v>
      </c>
      <c r="I1204" s="281"/>
      <c r="J1204" s="140">
        <f>ROUND(I1204%*H1204,2)</f>
        <v>0</v>
      </c>
      <c r="K1204" s="137"/>
      <c r="O1204" s="1"/>
    </row>
    <row r="1205" spans="2:15" s="10" customFormat="1" ht="29.85" customHeight="1">
      <c r="B1205" s="128"/>
      <c r="D1205" s="129"/>
      <c r="E1205" s="248" t="s">
        <v>732</v>
      </c>
      <c r="F1205" s="133" t="s">
        <v>1896</v>
      </c>
      <c r="G1205" s="132"/>
      <c r="J1205" s="134"/>
    </row>
    <row r="1206" spans="2:15" s="163" customFormat="1" ht="22.9" customHeight="1">
      <c r="B1206" s="254"/>
      <c r="C1206" s="135">
        <f>C1204+1</f>
        <v>278</v>
      </c>
      <c r="D1206" s="135" t="s">
        <v>65</v>
      </c>
      <c r="E1206" s="136" t="s">
        <v>733</v>
      </c>
      <c r="F1206" s="273" t="s">
        <v>2369</v>
      </c>
      <c r="G1206" s="258" t="s">
        <v>265</v>
      </c>
      <c r="H1206" s="269">
        <f>H1208</f>
        <v>4</v>
      </c>
      <c r="I1206" s="281"/>
      <c r="J1206" s="140">
        <f t="shared" ref="J1206:J1212" si="121">ROUND(I1206*H1206,2)</f>
        <v>0</v>
      </c>
      <c r="K1206" s="137"/>
      <c r="O1206" s="1">
        <f>H1206*0.055</f>
        <v>0.22</v>
      </c>
    </row>
    <row r="1207" spans="2:15" s="11" customFormat="1">
      <c r="B1207" s="141"/>
      <c r="D1207" s="142" t="s">
        <v>95</v>
      </c>
      <c r="F1207" s="144" t="s">
        <v>1152</v>
      </c>
      <c r="H1207" s="145">
        <v>4</v>
      </c>
      <c r="K1207" s="331"/>
      <c r="O1207" s="1"/>
    </row>
    <row r="1208" spans="2:15" s="12" customFormat="1">
      <c r="B1208" s="146"/>
      <c r="D1208" s="142" t="s">
        <v>95</v>
      </c>
      <c r="E1208" s="342" t="s">
        <v>2</v>
      </c>
      <c r="F1208" s="343" t="s">
        <v>96</v>
      </c>
      <c r="H1208" s="149">
        <f>SUM(H1207:H1207)</f>
        <v>4</v>
      </c>
      <c r="K1208" s="331"/>
      <c r="O1208" s="1"/>
    </row>
    <row r="1209" spans="2:15" s="163" customFormat="1" ht="22.9" customHeight="1">
      <c r="B1209" s="254"/>
      <c r="C1209" s="135">
        <f>C1206+1</f>
        <v>279</v>
      </c>
      <c r="D1209" s="135" t="s">
        <v>65</v>
      </c>
      <c r="E1209" s="136" t="s">
        <v>734</v>
      </c>
      <c r="F1209" s="273" t="s">
        <v>557</v>
      </c>
      <c r="G1209" s="258" t="s">
        <v>265</v>
      </c>
      <c r="H1209" s="269">
        <f>H1211</f>
        <v>14</v>
      </c>
      <c r="I1209" s="281"/>
      <c r="J1209" s="140">
        <f t="shared" si="121"/>
        <v>0</v>
      </c>
      <c r="K1209" s="137"/>
      <c r="O1209" s="1">
        <f>H1209*0.3*0.3*0.3*2.125</f>
        <v>0.80325000000000002</v>
      </c>
    </row>
    <row r="1210" spans="2:15" s="11" customFormat="1">
      <c r="B1210" s="141"/>
      <c r="D1210" s="142" t="s">
        <v>95</v>
      </c>
      <c r="F1210" s="144" t="s">
        <v>1895</v>
      </c>
      <c r="H1210" s="145">
        <f>14</f>
        <v>14</v>
      </c>
      <c r="K1210" s="331"/>
      <c r="O1210" s="1"/>
    </row>
    <row r="1211" spans="2:15" s="12" customFormat="1">
      <c r="B1211" s="146"/>
      <c r="D1211" s="142" t="s">
        <v>95</v>
      </c>
      <c r="E1211" s="342" t="s">
        <v>2</v>
      </c>
      <c r="F1211" s="343" t="s">
        <v>96</v>
      </c>
      <c r="H1211" s="149">
        <f>SUM(H1210:H1210)</f>
        <v>14</v>
      </c>
      <c r="K1211" s="331"/>
      <c r="O1211" s="1"/>
    </row>
    <row r="1212" spans="2:15" s="163" customFormat="1" ht="22.9" customHeight="1">
      <c r="B1212" s="254"/>
      <c r="C1212" s="135">
        <f>C1209+1</f>
        <v>280</v>
      </c>
      <c r="D1212" s="135" t="s">
        <v>65</v>
      </c>
      <c r="E1212" s="136" t="s">
        <v>735</v>
      </c>
      <c r="F1212" s="273" t="s">
        <v>1244</v>
      </c>
      <c r="G1212" s="258" t="s">
        <v>265</v>
      </c>
      <c r="H1212" s="269">
        <f>H1214</f>
        <v>13</v>
      </c>
      <c r="I1212" s="281"/>
      <c r="J1212" s="140">
        <f t="shared" si="121"/>
        <v>0</v>
      </c>
      <c r="K1212" s="137"/>
      <c r="O1212" s="1">
        <f>H1212*0.3*0.3*0.6*2.125</f>
        <v>1.4917499999999999</v>
      </c>
    </row>
    <row r="1213" spans="2:15" s="11" customFormat="1">
      <c r="B1213" s="141"/>
      <c r="D1213" s="142" t="s">
        <v>95</v>
      </c>
      <c r="F1213" s="144" t="s">
        <v>2373</v>
      </c>
      <c r="H1213" s="145">
        <f>13</f>
        <v>13</v>
      </c>
      <c r="K1213" s="331"/>
      <c r="O1213" s="1"/>
    </row>
    <row r="1214" spans="2:15" s="12" customFormat="1">
      <c r="B1214" s="146"/>
      <c r="D1214" s="142" t="s">
        <v>95</v>
      </c>
      <c r="E1214" s="342" t="s">
        <v>2</v>
      </c>
      <c r="F1214" s="343" t="s">
        <v>96</v>
      </c>
      <c r="H1214" s="149">
        <f>SUM(H1213:H1213)</f>
        <v>13</v>
      </c>
      <c r="K1214" s="331"/>
      <c r="O1214" s="1"/>
    </row>
    <row r="1215" spans="2:15" s="163" customFormat="1" ht="22.9" customHeight="1">
      <c r="B1215" s="254"/>
      <c r="C1215" s="135">
        <f>C1212+1</f>
        <v>281</v>
      </c>
      <c r="D1215" s="258" t="s">
        <v>65</v>
      </c>
      <c r="E1215" s="136" t="s">
        <v>736</v>
      </c>
      <c r="F1215" s="255" t="s">
        <v>567</v>
      </c>
      <c r="G1215" s="256" t="s">
        <v>101</v>
      </c>
      <c r="H1215" s="257">
        <f>H1217</f>
        <v>2.5150000000000001</v>
      </c>
      <c r="I1215" s="90"/>
      <c r="J1215" s="140">
        <f t="shared" ref="J1215" si="122">ROUND(I1215*H1215,2)</f>
        <v>0</v>
      </c>
      <c r="K1215" s="137"/>
      <c r="O1215" s="1"/>
    </row>
    <row r="1216" spans="2:15" s="11" customFormat="1">
      <c r="B1216" s="141"/>
      <c r="D1216" s="142" t="s">
        <v>95</v>
      </c>
      <c r="E1216" s="143" t="s">
        <v>2</v>
      </c>
      <c r="F1216" s="144" t="s">
        <v>2374</v>
      </c>
      <c r="H1216" s="145">
        <f>FLOOR(SUM(O1206:O1214),0.001)</f>
        <v>2.5150000000000001</v>
      </c>
      <c r="O1216" s="1"/>
    </row>
    <row r="1217" spans="2:15" s="12" customFormat="1">
      <c r="B1217" s="146"/>
      <c r="D1217" s="142" t="s">
        <v>95</v>
      </c>
      <c r="E1217" s="342" t="s">
        <v>2</v>
      </c>
      <c r="F1217" s="343" t="s">
        <v>96</v>
      </c>
      <c r="H1217" s="149">
        <f>SUM(H1216:H1216)</f>
        <v>2.5150000000000001</v>
      </c>
      <c r="O1217" s="1"/>
    </row>
    <row r="1218" spans="2:15" s="163" customFormat="1" ht="22.9" customHeight="1">
      <c r="B1218" s="254"/>
      <c r="C1218" s="135">
        <f>C1215+1</f>
        <v>282</v>
      </c>
      <c r="D1218" s="258" t="s">
        <v>65</v>
      </c>
      <c r="E1218" s="136" t="s">
        <v>737</v>
      </c>
      <c r="F1218" s="255" t="s">
        <v>568</v>
      </c>
      <c r="G1218" s="256" t="s">
        <v>101</v>
      </c>
      <c r="H1218" s="257">
        <f>H1220</f>
        <v>12.575000000000001</v>
      </c>
      <c r="I1218" s="90"/>
      <c r="J1218" s="140">
        <f t="shared" ref="J1218" si="123">ROUND(I1218*H1218,2)</f>
        <v>0</v>
      </c>
      <c r="K1218" s="137"/>
      <c r="O1218" s="1"/>
    </row>
    <row r="1219" spans="2:15" s="11" customFormat="1">
      <c r="B1219" s="141"/>
      <c r="D1219" s="142" t="s">
        <v>95</v>
      </c>
      <c r="E1219" s="143" t="s">
        <v>2</v>
      </c>
      <c r="F1219" s="144" t="s">
        <v>2375</v>
      </c>
      <c r="H1219" s="145">
        <f>H1217*5</f>
        <v>12.575000000000001</v>
      </c>
      <c r="O1219" s="1"/>
    </row>
    <row r="1220" spans="2:15" s="12" customFormat="1">
      <c r="B1220" s="146"/>
      <c r="D1220" s="142" t="s">
        <v>95</v>
      </c>
      <c r="E1220" s="342" t="s">
        <v>2</v>
      </c>
      <c r="F1220" s="343" t="s">
        <v>96</v>
      </c>
      <c r="H1220" s="149">
        <f>SUM(H1219:H1219)</f>
        <v>12.575000000000001</v>
      </c>
      <c r="O1220" s="1"/>
    </row>
    <row r="1221" spans="2:15" s="163" customFormat="1" ht="22.9" customHeight="1">
      <c r="B1221" s="254"/>
      <c r="C1221" s="135">
        <f>C1218+1</f>
        <v>283</v>
      </c>
      <c r="D1221" s="258" t="s">
        <v>65</v>
      </c>
      <c r="E1221" s="136" t="s">
        <v>738</v>
      </c>
      <c r="F1221" s="255" t="s">
        <v>569</v>
      </c>
      <c r="G1221" s="256" t="s">
        <v>101</v>
      </c>
      <c r="H1221" s="257">
        <f>H1223</f>
        <v>2.5150000000000001</v>
      </c>
      <c r="I1221" s="90"/>
      <c r="J1221" s="140">
        <f t="shared" ref="J1221" si="124">ROUND(I1221*H1221,2)</f>
        <v>0</v>
      </c>
      <c r="K1221" s="137"/>
      <c r="O1221" s="1"/>
    </row>
    <row r="1222" spans="2:15" s="11" customFormat="1">
      <c r="B1222" s="141"/>
      <c r="D1222" s="142" t="s">
        <v>95</v>
      </c>
      <c r="E1222" s="143" t="s">
        <v>2</v>
      </c>
      <c r="F1222" s="144" t="s">
        <v>2374</v>
      </c>
      <c r="H1222" s="145">
        <f>H1217</f>
        <v>2.5150000000000001</v>
      </c>
      <c r="O1222" s="1"/>
    </row>
    <row r="1223" spans="2:15" s="12" customFormat="1">
      <c r="B1223" s="146"/>
      <c r="D1223" s="142" t="s">
        <v>95</v>
      </c>
      <c r="E1223" s="342" t="s">
        <v>2</v>
      </c>
      <c r="F1223" s="343" t="s">
        <v>96</v>
      </c>
      <c r="H1223" s="149">
        <f>SUM(H1222:H1222)</f>
        <v>2.5150000000000001</v>
      </c>
      <c r="O1223" s="1"/>
    </row>
    <row r="1224" spans="2:15" s="163" customFormat="1" ht="22.9" customHeight="1">
      <c r="B1224" s="254"/>
      <c r="C1224" s="135">
        <f>C1221+1</f>
        <v>284</v>
      </c>
      <c r="D1224" s="258" t="s">
        <v>65</v>
      </c>
      <c r="E1224" s="136" t="s">
        <v>739</v>
      </c>
      <c r="F1224" s="255" t="s">
        <v>570</v>
      </c>
      <c r="G1224" s="256" t="s">
        <v>101</v>
      </c>
      <c r="H1224" s="257">
        <f>H1226</f>
        <v>40.185000000000002</v>
      </c>
      <c r="I1224" s="90"/>
      <c r="J1224" s="140">
        <f t="shared" ref="J1224" si="125">ROUND(I1224*H1224,2)</f>
        <v>0</v>
      </c>
      <c r="K1224" s="137"/>
      <c r="O1224" s="1"/>
    </row>
    <row r="1225" spans="2:15" s="11" customFormat="1">
      <c r="B1225" s="141"/>
      <c r="D1225" s="142" t="s">
        <v>95</v>
      </c>
      <c r="E1225" s="143" t="s">
        <v>2</v>
      </c>
      <c r="F1225" s="144" t="s">
        <v>2376</v>
      </c>
      <c r="H1225" s="145">
        <f>2.115*19</f>
        <v>40.185000000000002</v>
      </c>
      <c r="O1225" s="1"/>
    </row>
    <row r="1226" spans="2:15" s="12" customFormat="1">
      <c r="B1226" s="146"/>
      <c r="D1226" s="142" t="s">
        <v>95</v>
      </c>
      <c r="E1226" s="342" t="s">
        <v>2</v>
      </c>
      <c r="F1226" s="343" t="s">
        <v>96</v>
      </c>
      <c r="H1226" s="149">
        <f>SUM(H1225:H1225)</f>
        <v>40.185000000000002</v>
      </c>
      <c r="O1226" s="1"/>
    </row>
    <row r="1227" spans="2:15" s="163" customFormat="1" ht="22.9" customHeight="1">
      <c r="B1227" s="254"/>
      <c r="C1227" s="135">
        <f>C1224+1</f>
        <v>285</v>
      </c>
      <c r="D1227" s="258" t="s">
        <v>65</v>
      </c>
      <c r="E1227" s="136" t="s">
        <v>740</v>
      </c>
      <c r="F1227" s="255" t="s">
        <v>571</v>
      </c>
      <c r="G1227" s="256" t="s">
        <v>101</v>
      </c>
      <c r="H1227" s="257">
        <f>H1229</f>
        <v>2.5150000000000001</v>
      </c>
      <c r="I1227" s="90"/>
      <c r="J1227" s="140">
        <f t="shared" ref="J1227" si="126">ROUND(I1227*H1227,2)</f>
        <v>0</v>
      </c>
      <c r="K1227" s="137"/>
      <c r="O1227" s="1"/>
    </row>
    <row r="1228" spans="2:15" s="11" customFormat="1">
      <c r="B1228" s="141"/>
      <c r="D1228" s="142" t="s">
        <v>95</v>
      </c>
      <c r="E1228" s="143" t="s">
        <v>2</v>
      </c>
      <c r="F1228" s="144" t="s">
        <v>2374</v>
      </c>
      <c r="H1228" s="145">
        <f>H1222</f>
        <v>2.5150000000000001</v>
      </c>
      <c r="O1228" s="1"/>
    </row>
    <row r="1229" spans="2:15" s="12" customFormat="1">
      <c r="B1229" s="146"/>
      <c r="D1229" s="142" t="s">
        <v>95</v>
      </c>
      <c r="E1229" s="342" t="s">
        <v>2</v>
      </c>
      <c r="F1229" s="343" t="s">
        <v>96</v>
      </c>
      <c r="H1229" s="149">
        <f>SUM(H1228:H1228)</f>
        <v>2.5150000000000001</v>
      </c>
      <c r="O1229" s="1"/>
    </row>
    <row r="1230" spans="2:15" s="163" customFormat="1" ht="22.9" customHeight="1">
      <c r="B1230" s="254"/>
      <c r="C1230" s="135">
        <f>C1227+1</f>
        <v>286</v>
      </c>
      <c r="D1230" s="135" t="s">
        <v>643</v>
      </c>
      <c r="E1230" s="136" t="s">
        <v>741</v>
      </c>
      <c r="F1230" s="270" t="s">
        <v>556</v>
      </c>
      <c r="G1230" s="258" t="s">
        <v>261</v>
      </c>
      <c r="H1230" s="272">
        <f>SUM(J1206:J1214)</f>
        <v>0</v>
      </c>
      <c r="I1230" s="281"/>
      <c r="J1230" s="140">
        <f>ROUND(I1230%*H1230,2)</f>
        <v>0</v>
      </c>
      <c r="K1230" s="137"/>
      <c r="O1230" s="1"/>
    </row>
    <row r="1231" spans="2:15" s="10" customFormat="1" ht="29.85" customHeight="1">
      <c r="B1231" s="128"/>
      <c r="D1231" s="129" t="s">
        <v>39</v>
      </c>
      <c r="E1231" s="133" t="s">
        <v>216</v>
      </c>
      <c r="F1231" s="133" t="s">
        <v>773</v>
      </c>
      <c r="J1231" s="134">
        <f>SUM(J1232:J1266)</f>
        <v>0</v>
      </c>
    </row>
    <row r="1232" spans="2:15" s="1" customFormat="1" ht="22.9" customHeight="1">
      <c r="B1232" s="39"/>
      <c r="C1232" s="135">
        <f>C1230+1</f>
        <v>287</v>
      </c>
      <c r="D1232" s="135" t="s">
        <v>643</v>
      </c>
      <c r="E1232" s="136" t="s">
        <v>1933</v>
      </c>
      <c r="F1232" s="137" t="s">
        <v>783</v>
      </c>
      <c r="G1232" s="138" t="s">
        <v>66</v>
      </c>
      <c r="H1232" s="139">
        <v>1</v>
      </c>
      <c r="I1232" s="90"/>
      <c r="J1232" s="140">
        <f>ROUND(I1232*H1232,2)</f>
        <v>0</v>
      </c>
      <c r="K1232" s="137"/>
    </row>
    <row r="1233" spans="2:15" s="1" customFormat="1" ht="22.9" customHeight="1">
      <c r="B1233" s="39"/>
      <c r="C1233" s="135">
        <f>C1232+1</f>
        <v>288</v>
      </c>
      <c r="D1233" s="135" t="s">
        <v>643</v>
      </c>
      <c r="E1233" s="136" t="s">
        <v>1934</v>
      </c>
      <c r="F1233" s="137" t="s">
        <v>2001</v>
      </c>
      <c r="G1233" s="138" t="s">
        <v>181</v>
      </c>
      <c r="H1233" s="139">
        <f>H1235</f>
        <v>1</v>
      </c>
      <c r="I1233" s="90"/>
      <c r="J1233" s="140">
        <f>ROUND(I1233*H1233,2)</f>
        <v>0</v>
      </c>
      <c r="K1233" s="137"/>
    </row>
    <row r="1234" spans="2:15" s="11" customFormat="1">
      <c r="B1234" s="141"/>
      <c r="D1234" s="142" t="s">
        <v>95</v>
      </c>
      <c r="F1234" s="144" t="s">
        <v>1134</v>
      </c>
      <c r="H1234" s="145">
        <f>1</f>
        <v>1</v>
      </c>
      <c r="O1234" s="1"/>
    </row>
    <row r="1235" spans="2:15" s="12" customFormat="1">
      <c r="B1235" s="146"/>
      <c r="D1235" s="142" t="s">
        <v>95</v>
      </c>
      <c r="E1235" s="147" t="s">
        <v>2</v>
      </c>
      <c r="F1235" s="148" t="s">
        <v>96</v>
      </c>
      <c r="H1235" s="149">
        <f>SUM(H1234:H1234)</f>
        <v>1</v>
      </c>
      <c r="O1235" s="1"/>
    </row>
    <row r="1236" spans="2:15" s="1" customFormat="1" ht="22.9" customHeight="1">
      <c r="B1236" s="39"/>
      <c r="C1236" s="135">
        <f>C1233+1</f>
        <v>289</v>
      </c>
      <c r="D1236" s="135" t="s">
        <v>643</v>
      </c>
      <c r="E1236" s="136" t="s">
        <v>1935</v>
      </c>
      <c r="F1236" s="137" t="s">
        <v>1929</v>
      </c>
      <c r="G1236" s="138" t="s">
        <v>261</v>
      </c>
      <c r="H1236" s="354">
        <f>SUM(J1240:J1266)</f>
        <v>0</v>
      </c>
      <c r="I1236" s="167"/>
      <c r="J1236" s="140">
        <f>ROUND(I1236%*H1236,2)</f>
        <v>0</v>
      </c>
      <c r="K1236" s="137"/>
    </row>
    <row r="1237" spans="2:15" s="1" customFormat="1" ht="22.9" customHeight="1">
      <c r="B1237" s="39"/>
      <c r="C1237" s="135">
        <f>C1236+1</f>
        <v>290</v>
      </c>
      <c r="D1237" s="135" t="s">
        <v>643</v>
      </c>
      <c r="E1237" s="136" t="s">
        <v>1936</v>
      </c>
      <c r="F1237" s="137" t="s">
        <v>1930</v>
      </c>
      <c r="G1237" s="138" t="s">
        <v>261</v>
      </c>
      <c r="H1237" s="354">
        <f>SUM(J1240:J1266)</f>
        <v>0</v>
      </c>
      <c r="I1237" s="167"/>
      <c r="J1237" s="140">
        <f>ROUND(I1237%*H1237,2)</f>
        <v>0</v>
      </c>
      <c r="K1237" s="137"/>
    </row>
    <row r="1238" spans="2:15" s="1" customFormat="1" ht="22.9" customHeight="1">
      <c r="B1238" s="39"/>
      <c r="C1238" s="135">
        <f>C1237+1</f>
        <v>291</v>
      </c>
      <c r="D1238" s="135" t="s">
        <v>643</v>
      </c>
      <c r="E1238" s="136" t="s">
        <v>2000</v>
      </c>
      <c r="F1238" s="137" t="s">
        <v>1931</v>
      </c>
      <c r="G1238" s="138" t="s">
        <v>261</v>
      </c>
      <c r="H1238" s="354">
        <f>SUM(J1240:J1266)</f>
        <v>0</v>
      </c>
      <c r="I1238" s="167"/>
      <c r="J1238" s="140">
        <f>ROUND(I1238%*H1238,2)</f>
        <v>0</v>
      </c>
      <c r="K1238" s="137"/>
    </row>
    <row r="1239" spans="2:15" s="10" customFormat="1" ht="29.85" customHeight="1">
      <c r="B1239" s="128"/>
      <c r="D1239" s="129"/>
      <c r="E1239" s="248" t="s">
        <v>774</v>
      </c>
      <c r="F1239" s="274" t="s">
        <v>775</v>
      </c>
      <c r="G1239" s="132"/>
      <c r="J1239" s="134"/>
    </row>
    <row r="1240" spans="2:15" s="163" customFormat="1" ht="27">
      <c r="B1240" s="254"/>
      <c r="C1240" s="258">
        <f>C1238+1</f>
        <v>292</v>
      </c>
      <c r="D1240" s="258" t="s">
        <v>65</v>
      </c>
      <c r="E1240" s="259" t="s">
        <v>1937</v>
      </c>
      <c r="F1240" s="273" t="s">
        <v>1938</v>
      </c>
      <c r="G1240" s="258" t="s">
        <v>265</v>
      </c>
      <c r="H1240" s="269">
        <f>H1242</f>
        <v>1</v>
      </c>
      <c r="I1240" s="281"/>
      <c r="J1240" s="272">
        <f t="shared" ref="J1240" si="127">ROUND(I1240*H1240,2)</f>
        <v>0</v>
      </c>
      <c r="K1240" s="284"/>
    </row>
    <row r="1241" spans="2:15" s="11" customFormat="1">
      <c r="B1241" s="141"/>
      <c r="D1241" s="142" t="s">
        <v>95</v>
      </c>
      <c r="F1241" s="144" t="s">
        <v>1843</v>
      </c>
      <c r="H1241" s="145">
        <f>1</f>
        <v>1</v>
      </c>
      <c r="K1241" s="331"/>
      <c r="O1241" s="1"/>
    </row>
    <row r="1242" spans="2:15" s="12" customFormat="1">
      <c r="B1242" s="146"/>
      <c r="D1242" s="142" t="s">
        <v>95</v>
      </c>
      <c r="E1242" s="342" t="s">
        <v>2</v>
      </c>
      <c r="F1242" s="343" t="s">
        <v>96</v>
      </c>
      <c r="H1242" s="149">
        <f>SUM(H1241:H1241)</f>
        <v>1</v>
      </c>
      <c r="K1242" s="331"/>
      <c r="O1242" s="1"/>
    </row>
    <row r="1243" spans="2:15" s="163" customFormat="1">
      <c r="B1243" s="254"/>
      <c r="C1243" s="258">
        <f>C1240+1</f>
        <v>293</v>
      </c>
      <c r="D1243" s="258" t="s">
        <v>65</v>
      </c>
      <c r="E1243" s="259" t="s">
        <v>1939</v>
      </c>
      <c r="F1243" s="273" t="s">
        <v>1983</v>
      </c>
      <c r="G1243" s="258" t="s">
        <v>265</v>
      </c>
      <c r="H1243" s="269">
        <f>H1245</f>
        <v>1</v>
      </c>
      <c r="I1243" s="281"/>
      <c r="J1243" s="272">
        <f t="shared" ref="J1243" si="128">ROUND(I1243*H1243,2)</f>
        <v>0</v>
      </c>
      <c r="K1243" s="284"/>
    </row>
    <row r="1244" spans="2:15" s="11" customFormat="1">
      <c r="B1244" s="141"/>
      <c r="D1244" s="142" t="s">
        <v>95</v>
      </c>
      <c r="F1244" s="144" t="s">
        <v>1843</v>
      </c>
      <c r="H1244" s="145">
        <f>1</f>
        <v>1</v>
      </c>
      <c r="K1244" s="331"/>
      <c r="O1244" s="1"/>
    </row>
    <row r="1245" spans="2:15" s="12" customFormat="1">
      <c r="B1245" s="146"/>
      <c r="D1245" s="142" t="s">
        <v>95</v>
      </c>
      <c r="E1245" s="342" t="s">
        <v>2</v>
      </c>
      <c r="F1245" s="343" t="s">
        <v>96</v>
      </c>
      <c r="H1245" s="149">
        <f>SUM(H1244:H1244)</f>
        <v>1</v>
      </c>
      <c r="K1245" s="331"/>
      <c r="O1245" s="1"/>
    </row>
    <row r="1246" spans="2:15" s="163" customFormat="1">
      <c r="B1246" s="254"/>
      <c r="C1246" s="258">
        <f>C1243+1</f>
        <v>294</v>
      </c>
      <c r="D1246" s="258" t="s">
        <v>65</v>
      </c>
      <c r="E1246" s="259" t="s">
        <v>1984</v>
      </c>
      <c r="F1246" s="273" t="s">
        <v>1985</v>
      </c>
      <c r="G1246" s="258" t="s">
        <v>265</v>
      </c>
      <c r="H1246" s="269">
        <f>H1248</f>
        <v>1</v>
      </c>
      <c r="I1246" s="281"/>
      <c r="J1246" s="272">
        <f t="shared" ref="J1246" si="129">ROUND(I1246*H1246,2)</f>
        <v>0</v>
      </c>
      <c r="K1246" s="284"/>
    </row>
    <row r="1247" spans="2:15" s="11" customFormat="1">
      <c r="B1247" s="141"/>
      <c r="D1247" s="142" t="s">
        <v>95</v>
      </c>
      <c r="F1247" s="144" t="s">
        <v>1843</v>
      </c>
      <c r="H1247" s="145">
        <f>1</f>
        <v>1</v>
      </c>
      <c r="K1247" s="331"/>
      <c r="O1247" s="1"/>
    </row>
    <row r="1248" spans="2:15" s="12" customFormat="1">
      <c r="B1248" s="146"/>
      <c r="D1248" s="142" t="s">
        <v>95</v>
      </c>
      <c r="E1248" s="342" t="s">
        <v>2</v>
      </c>
      <c r="F1248" s="343" t="s">
        <v>96</v>
      </c>
      <c r="H1248" s="149">
        <f>SUM(H1247:H1247)</f>
        <v>1</v>
      </c>
      <c r="K1248" s="331"/>
      <c r="O1248" s="1"/>
    </row>
    <row r="1249" spans="2:15" s="163" customFormat="1">
      <c r="B1249" s="254"/>
      <c r="C1249" s="258">
        <f>C1246+1</f>
        <v>295</v>
      </c>
      <c r="D1249" s="258" t="s">
        <v>65</v>
      </c>
      <c r="E1249" s="259" t="s">
        <v>1986</v>
      </c>
      <c r="F1249" s="273" t="s">
        <v>1988</v>
      </c>
      <c r="G1249" s="258" t="s">
        <v>155</v>
      </c>
      <c r="H1249" s="269">
        <f>H1251</f>
        <v>1.5</v>
      </c>
      <c r="I1249" s="281"/>
      <c r="J1249" s="272">
        <f t="shared" ref="J1249" si="130">ROUND(I1249*H1249,2)</f>
        <v>0</v>
      </c>
      <c r="K1249" s="284"/>
    </row>
    <row r="1250" spans="2:15" s="11" customFormat="1">
      <c r="B1250" s="141"/>
      <c r="D1250" s="142" t="s">
        <v>95</v>
      </c>
      <c r="F1250" s="144" t="s">
        <v>1987</v>
      </c>
      <c r="H1250" s="145">
        <f>1.5</f>
        <v>1.5</v>
      </c>
      <c r="K1250" s="331"/>
      <c r="O1250" s="1"/>
    </row>
    <row r="1251" spans="2:15" s="12" customFormat="1">
      <c r="B1251" s="146"/>
      <c r="D1251" s="142" t="s">
        <v>95</v>
      </c>
      <c r="E1251" s="342" t="s">
        <v>2</v>
      </c>
      <c r="F1251" s="343" t="s">
        <v>96</v>
      </c>
      <c r="H1251" s="149">
        <f>SUM(H1250:H1250)</f>
        <v>1.5</v>
      </c>
      <c r="K1251" s="331"/>
      <c r="O1251" s="1"/>
    </row>
    <row r="1252" spans="2:15" s="163" customFormat="1">
      <c r="B1252" s="254"/>
      <c r="C1252" s="258">
        <f>C1249+1</f>
        <v>296</v>
      </c>
      <c r="D1252" s="258" t="s">
        <v>65</v>
      </c>
      <c r="E1252" s="259" t="s">
        <v>1989</v>
      </c>
      <c r="F1252" s="273" t="s">
        <v>1991</v>
      </c>
      <c r="G1252" s="258" t="s">
        <v>261</v>
      </c>
      <c r="H1252" s="355">
        <f>SUM(J1240:J1251)</f>
        <v>0</v>
      </c>
      <c r="I1252" s="281"/>
      <c r="J1252" s="272">
        <f>ROUND(I1252%*H1252,2)</f>
        <v>0</v>
      </c>
      <c r="K1252" s="284"/>
    </row>
    <row r="1253" spans="2:15" s="10" customFormat="1" ht="29.85" customHeight="1">
      <c r="B1253" s="128"/>
      <c r="D1253" s="129"/>
      <c r="E1253" s="248" t="s">
        <v>776</v>
      </c>
      <c r="F1253" s="274" t="s">
        <v>777</v>
      </c>
      <c r="G1253" s="132"/>
      <c r="J1253" s="134"/>
    </row>
    <row r="1254" spans="2:15" s="165" customFormat="1">
      <c r="B1254" s="262"/>
      <c r="C1254" s="150">
        <f>C1252+1</f>
        <v>297</v>
      </c>
      <c r="D1254" s="150" t="s">
        <v>123</v>
      </c>
      <c r="E1254" s="151" t="s">
        <v>1992</v>
      </c>
      <c r="F1254" s="329" t="s">
        <v>1834</v>
      </c>
      <c r="G1254" s="150" t="s">
        <v>265</v>
      </c>
      <c r="H1254" s="325">
        <f>H1256</f>
        <v>1</v>
      </c>
      <c r="I1254" s="91"/>
      <c r="J1254" s="155">
        <f t="shared" ref="J1254" si="131">ROUND(I1254*H1254,2)</f>
        <v>0</v>
      </c>
      <c r="K1254" s="152"/>
      <c r="O1254" s="310"/>
    </row>
    <row r="1255" spans="2:15" s="11" customFormat="1">
      <c r="B1255" s="141"/>
      <c r="D1255" s="142" t="s">
        <v>95</v>
      </c>
      <c r="F1255" s="144" t="s">
        <v>1843</v>
      </c>
      <c r="H1255" s="145">
        <f>1</f>
        <v>1</v>
      </c>
      <c r="K1255" s="331"/>
      <c r="O1255" s="1"/>
    </row>
    <row r="1256" spans="2:15" s="12" customFormat="1">
      <c r="B1256" s="146"/>
      <c r="D1256" s="142" t="s">
        <v>95</v>
      </c>
      <c r="E1256" s="342" t="s">
        <v>2</v>
      </c>
      <c r="F1256" s="343" t="s">
        <v>96</v>
      </c>
      <c r="H1256" s="149">
        <f>SUM(H1255:H1255)</f>
        <v>1</v>
      </c>
      <c r="K1256" s="331"/>
      <c r="O1256" s="1"/>
    </row>
    <row r="1257" spans="2:15" s="349" customFormat="1">
      <c r="B1257" s="348"/>
      <c r="C1257" s="150">
        <f>C1254+1</f>
        <v>298</v>
      </c>
      <c r="D1257" s="150" t="s">
        <v>123</v>
      </c>
      <c r="E1257" s="151" t="s">
        <v>1993</v>
      </c>
      <c r="F1257" s="329" t="s">
        <v>1997</v>
      </c>
      <c r="G1257" s="150" t="s">
        <v>265</v>
      </c>
      <c r="H1257" s="325">
        <f>H1259</f>
        <v>1</v>
      </c>
      <c r="I1257" s="91"/>
      <c r="J1257" s="155">
        <f t="shared" ref="J1257" si="132">ROUND(I1257*H1257,2)</f>
        <v>0</v>
      </c>
      <c r="K1257" s="152"/>
    </row>
    <row r="1258" spans="2:15" s="11" customFormat="1">
      <c r="B1258" s="141"/>
      <c r="D1258" s="142" t="s">
        <v>95</v>
      </c>
      <c r="F1258" s="144" t="s">
        <v>1843</v>
      </c>
      <c r="H1258" s="145">
        <f>1</f>
        <v>1</v>
      </c>
      <c r="K1258" s="331"/>
      <c r="O1258" s="1"/>
    </row>
    <row r="1259" spans="2:15" s="12" customFormat="1">
      <c r="B1259" s="146"/>
      <c r="D1259" s="142" t="s">
        <v>95</v>
      </c>
      <c r="E1259" s="342" t="s">
        <v>2</v>
      </c>
      <c r="F1259" s="343" t="s">
        <v>96</v>
      </c>
      <c r="H1259" s="149">
        <f>SUM(H1258:H1258)</f>
        <v>1</v>
      </c>
      <c r="K1259" s="331"/>
      <c r="O1259" s="1"/>
    </row>
    <row r="1260" spans="2:15" s="349" customFormat="1">
      <c r="B1260" s="348"/>
      <c r="C1260" s="150">
        <f>C1257+1</f>
        <v>299</v>
      </c>
      <c r="D1260" s="150" t="s">
        <v>123</v>
      </c>
      <c r="E1260" s="151" t="s">
        <v>1994</v>
      </c>
      <c r="F1260" s="329" t="s">
        <v>1996</v>
      </c>
      <c r="G1260" s="150" t="s">
        <v>265</v>
      </c>
      <c r="H1260" s="325">
        <f>H1262</f>
        <v>1</v>
      </c>
      <c r="I1260" s="91"/>
      <c r="J1260" s="155">
        <f t="shared" ref="J1260" si="133">ROUND(I1260*H1260,2)</f>
        <v>0</v>
      </c>
      <c r="K1260" s="152"/>
    </row>
    <row r="1261" spans="2:15" s="11" customFormat="1">
      <c r="B1261" s="141"/>
      <c r="D1261" s="142" t="s">
        <v>95</v>
      </c>
      <c r="F1261" s="144" t="s">
        <v>1843</v>
      </c>
      <c r="H1261" s="145">
        <f>1</f>
        <v>1</v>
      </c>
      <c r="K1261" s="331"/>
      <c r="O1261" s="1"/>
    </row>
    <row r="1262" spans="2:15" s="12" customFormat="1">
      <c r="B1262" s="146"/>
      <c r="D1262" s="142" t="s">
        <v>95</v>
      </c>
      <c r="E1262" s="342" t="s">
        <v>2</v>
      </c>
      <c r="F1262" s="343" t="s">
        <v>96</v>
      </c>
      <c r="H1262" s="149">
        <f>SUM(H1261:H1261)</f>
        <v>1</v>
      </c>
      <c r="K1262" s="331"/>
      <c r="O1262" s="1"/>
    </row>
    <row r="1263" spans="2:15" s="349" customFormat="1">
      <c r="B1263" s="348"/>
      <c r="C1263" s="150">
        <f>C1260+1</f>
        <v>300</v>
      </c>
      <c r="D1263" s="150" t="s">
        <v>123</v>
      </c>
      <c r="E1263" s="151" t="s">
        <v>1999</v>
      </c>
      <c r="F1263" s="329" t="s">
        <v>1995</v>
      </c>
      <c r="G1263" s="150" t="s">
        <v>155</v>
      </c>
      <c r="H1263" s="325">
        <f>H1265</f>
        <v>1.5</v>
      </c>
      <c r="I1263" s="91"/>
      <c r="J1263" s="155">
        <f t="shared" ref="J1263" si="134">ROUND(I1263*H1263,2)</f>
        <v>0</v>
      </c>
      <c r="K1263" s="152"/>
    </row>
    <row r="1264" spans="2:15" s="11" customFormat="1">
      <c r="B1264" s="141"/>
      <c r="D1264" s="142" t="s">
        <v>95</v>
      </c>
      <c r="F1264" s="144" t="s">
        <v>1987</v>
      </c>
      <c r="H1264" s="145">
        <f>1.5</f>
        <v>1.5</v>
      </c>
      <c r="K1264" s="331"/>
      <c r="O1264" s="1"/>
    </row>
    <row r="1265" spans="2:15" s="12" customFormat="1">
      <c r="B1265" s="146"/>
      <c r="D1265" s="142" t="s">
        <v>95</v>
      </c>
      <c r="E1265" s="342" t="s">
        <v>2</v>
      </c>
      <c r="F1265" s="343" t="s">
        <v>96</v>
      </c>
      <c r="H1265" s="149">
        <f>SUM(H1264:H1264)</f>
        <v>1.5</v>
      </c>
      <c r="K1265" s="331"/>
      <c r="O1265" s="1"/>
    </row>
    <row r="1266" spans="2:15" s="349" customFormat="1">
      <c r="B1266" s="348"/>
      <c r="C1266" s="150">
        <f>C1263+1</f>
        <v>301</v>
      </c>
      <c r="D1266" s="150" t="s">
        <v>123</v>
      </c>
      <c r="E1266" s="151" t="s">
        <v>1998</v>
      </c>
      <c r="F1266" s="329" t="s">
        <v>1990</v>
      </c>
      <c r="G1266" s="150" t="s">
        <v>261</v>
      </c>
      <c r="H1266" s="356">
        <f>SUM(J1254:J1265)</f>
        <v>0</v>
      </c>
      <c r="I1266" s="91"/>
      <c r="J1266" s="155">
        <f>ROUND(I1266%*H1266,2)</f>
        <v>0</v>
      </c>
      <c r="K1266" s="152"/>
    </row>
    <row r="1267" spans="2:15" s="10" customFormat="1" ht="29.85" customHeight="1">
      <c r="B1267" s="128"/>
      <c r="D1267" s="129" t="s">
        <v>39</v>
      </c>
      <c r="E1267" s="133" t="s">
        <v>217</v>
      </c>
      <c r="F1267" s="133" t="s">
        <v>218</v>
      </c>
      <c r="J1267" s="134">
        <f>SUM(J1268:J1303)</f>
        <v>0</v>
      </c>
    </row>
    <row r="1268" spans="2:15" s="1" customFormat="1" ht="31.5" customHeight="1">
      <c r="B1268" s="39"/>
      <c r="C1268" s="135">
        <f>C1232+1</f>
        <v>288</v>
      </c>
      <c r="D1268" s="135" t="s">
        <v>65</v>
      </c>
      <c r="E1268" s="136" t="s">
        <v>219</v>
      </c>
      <c r="F1268" s="137" t="s">
        <v>2006</v>
      </c>
      <c r="G1268" s="138" t="s">
        <v>94</v>
      </c>
      <c r="H1268" s="139">
        <f>H1271</f>
        <v>4.3280010000000004</v>
      </c>
      <c r="I1268" s="90"/>
      <c r="J1268" s="140">
        <f>ROUND(I1268*H1268,2)</f>
        <v>0</v>
      </c>
      <c r="K1268" s="137"/>
    </row>
    <row r="1269" spans="2:15" s="11" customFormat="1" ht="27">
      <c r="B1269" s="141"/>
      <c r="D1269" s="142" t="s">
        <v>95</v>
      </c>
      <c r="E1269" s="143" t="s">
        <v>2</v>
      </c>
      <c r="F1269" s="144" t="s">
        <v>2013</v>
      </c>
      <c r="H1269" s="145">
        <f>((0.06*0.25*2)+(0.06*0.06)*3)*58.645</f>
        <v>2.3927160000000005</v>
      </c>
    </row>
    <row r="1270" spans="2:15" s="11" customFormat="1">
      <c r="B1270" s="141"/>
      <c r="D1270" s="142" t="s">
        <v>95</v>
      </c>
      <c r="E1270" s="143" t="s">
        <v>2</v>
      </c>
      <c r="F1270" s="144" t="s">
        <v>2024</v>
      </c>
      <c r="H1270" s="145">
        <f>0.03*58.645*1.1</f>
        <v>1.9352850000000001</v>
      </c>
    </row>
    <row r="1271" spans="2:15" s="12" customFormat="1">
      <c r="B1271" s="146"/>
      <c r="D1271" s="142" t="s">
        <v>95</v>
      </c>
      <c r="E1271" s="147" t="s">
        <v>2</v>
      </c>
      <c r="F1271" s="148" t="s">
        <v>96</v>
      </c>
      <c r="H1271" s="149">
        <f>SUM(H1269:H1270)</f>
        <v>4.3280010000000004</v>
      </c>
    </row>
    <row r="1272" spans="2:15" s="1" customFormat="1" ht="22.15" customHeight="1">
      <c r="B1272" s="39"/>
      <c r="C1272" s="135">
        <f>C1268+1</f>
        <v>289</v>
      </c>
      <c r="D1272" s="135" t="s">
        <v>65</v>
      </c>
      <c r="E1272" s="136" t="s">
        <v>2007</v>
      </c>
      <c r="F1272" s="137" t="s">
        <v>2008</v>
      </c>
      <c r="G1272" s="138" t="s">
        <v>155</v>
      </c>
      <c r="H1272" s="139">
        <f>H1275</f>
        <v>293.22500000000002</v>
      </c>
      <c r="I1272" s="90"/>
      <c r="J1272" s="140">
        <f>ROUND(I1272*H1272,2)</f>
        <v>0</v>
      </c>
      <c r="K1272" s="137"/>
    </row>
    <row r="1273" spans="2:15" s="11" customFormat="1" ht="27">
      <c r="B1273" s="141"/>
      <c r="D1273" s="142" t="s">
        <v>95</v>
      </c>
      <c r="E1273" s="143" t="s">
        <v>2</v>
      </c>
      <c r="F1273" s="144" t="s">
        <v>2014</v>
      </c>
      <c r="H1273" s="145">
        <f>2*58.645</f>
        <v>117.29</v>
      </c>
    </row>
    <row r="1274" spans="2:15" s="11" customFormat="1">
      <c r="B1274" s="141"/>
      <c r="D1274" s="142" t="s">
        <v>95</v>
      </c>
      <c r="E1274" s="143" t="s">
        <v>2</v>
      </c>
      <c r="F1274" s="144" t="s">
        <v>2015</v>
      </c>
      <c r="H1274" s="145">
        <f>3*58.645</f>
        <v>175.935</v>
      </c>
    </row>
    <row r="1275" spans="2:15" s="12" customFormat="1">
      <c r="B1275" s="146"/>
      <c r="D1275" s="142" t="s">
        <v>95</v>
      </c>
      <c r="E1275" s="147" t="s">
        <v>2</v>
      </c>
      <c r="F1275" s="148" t="s">
        <v>96</v>
      </c>
      <c r="H1275" s="149">
        <f>SUM(H1273:H1274)</f>
        <v>293.22500000000002</v>
      </c>
    </row>
    <row r="1276" spans="2:15" s="349" customFormat="1" ht="22.15" customHeight="1">
      <c r="B1276" s="348"/>
      <c r="C1276" s="150">
        <f>C1272+1</f>
        <v>290</v>
      </c>
      <c r="D1276" s="150" t="s">
        <v>123</v>
      </c>
      <c r="E1276" s="151" t="s">
        <v>2011</v>
      </c>
      <c r="F1276" s="152" t="s">
        <v>2009</v>
      </c>
      <c r="G1276" s="153" t="s">
        <v>94</v>
      </c>
      <c r="H1276" s="154">
        <f>H1279</f>
        <v>2.6319876000000004</v>
      </c>
      <c r="I1276" s="91"/>
      <c r="J1276" s="155">
        <f>ROUND(I1276*H1276,2)</f>
        <v>0</v>
      </c>
      <c r="K1276" s="152"/>
    </row>
    <row r="1277" spans="2:15" s="11" customFormat="1" ht="27">
      <c r="B1277" s="141"/>
      <c r="D1277" s="142" t="s">
        <v>95</v>
      </c>
      <c r="E1277" s="143" t="s">
        <v>2</v>
      </c>
      <c r="F1277" s="144" t="s">
        <v>2021</v>
      </c>
      <c r="H1277" s="145">
        <f>(0.06*0.25*2)*58.645*1.1</f>
        <v>1.9352850000000001</v>
      </c>
    </row>
    <row r="1278" spans="2:15" s="11" customFormat="1" ht="27">
      <c r="B1278" s="141"/>
      <c r="D1278" s="142" t="s">
        <v>95</v>
      </c>
      <c r="E1278" s="143" t="s">
        <v>2</v>
      </c>
      <c r="F1278" s="144" t="s">
        <v>2022</v>
      </c>
      <c r="H1278" s="145">
        <f>(0.06*0.06*3)*58.645*1.1</f>
        <v>0.69670260000000017</v>
      </c>
    </row>
    <row r="1279" spans="2:15" s="12" customFormat="1">
      <c r="B1279" s="146"/>
      <c r="D1279" s="142" t="s">
        <v>95</v>
      </c>
      <c r="E1279" s="147" t="s">
        <v>2</v>
      </c>
      <c r="F1279" s="148" t="s">
        <v>96</v>
      </c>
      <c r="H1279" s="149">
        <f>SUM(H1277:H1278)</f>
        <v>2.6319876000000004</v>
      </c>
    </row>
    <row r="1280" spans="2:15" s="1" customFormat="1" ht="22.15" customHeight="1">
      <c r="B1280" s="39"/>
      <c r="C1280" s="135">
        <f>C1276+1</f>
        <v>291</v>
      </c>
      <c r="D1280" s="135" t="s">
        <v>65</v>
      </c>
      <c r="E1280" s="136" t="s">
        <v>2010</v>
      </c>
      <c r="F1280" s="137" t="s">
        <v>2012</v>
      </c>
      <c r="G1280" s="138" t="s">
        <v>105</v>
      </c>
      <c r="H1280" s="139">
        <f>H1282</f>
        <v>58.645000000000003</v>
      </c>
      <c r="I1280" s="90"/>
      <c r="J1280" s="140">
        <f>ROUND(I1280*H1280,2)</f>
        <v>0</v>
      </c>
      <c r="K1280" s="137"/>
    </row>
    <row r="1281" spans="2:22" s="11" customFormat="1">
      <c r="B1281" s="141"/>
      <c r="D1281" s="142" t="s">
        <v>95</v>
      </c>
      <c r="E1281" s="143" t="s">
        <v>2</v>
      </c>
      <c r="F1281" s="144" t="s">
        <v>2016</v>
      </c>
      <c r="H1281" s="145">
        <f>58.645</f>
        <v>58.645000000000003</v>
      </c>
    </row>
    <row r="1282" spans="2:22" s="12" customFormat="1">
      <c r="B1282" s="146"/>
      <c r="D1282" s="142" t="s">
        <v>95</v>
      </c>
      <c r="E1282" s="147" t="s">
        <v>2</v>
      </c>
      <c r="F1282" s="148" t="s">
        <v>96</v>
      </c>
      <c r="H1282" s="149">
        <f>SUM(H1281:H1281)</f>
        <v>58.645000000000003</v>
      </c>
    </row>
    <row r="1283" spans="2:22" s="1" customFormat="1" ht="22.5" customHeight="1">
      <c r="B1283" s="39"/>
      <c r="C1283" s="150">
        <f>C1280+1</f>
        <v>292</v>
      </c>
      <c r="D1283" s="150" t="s">
        <v>123</v>
      </c>
      <c r="E1283" s="151" t="s">
        <v>2017</v>
      </c>
      <c r="F1283" s="152" t="s">
        <v>2018</v>
      </c>
      <c r="G1283" s="153" t="s">
        <v>94</v>
      </c>
      <c r="H1283" s="154">
        <f>H1285</f>
        <v>1.9352850000000001</v>
      </c>
      <c r="I1283" s="91"/>
      <c r="J1283" s="155">
        <f>ROUND(I1283*H1283,2)</f>
        <v>0</v>
      </c>
      <c r="K1283" s="152"/>
    </row>
    <row r="1284" spans="2:22" s="11" customFormat="1">
      <c r="B1284" s="141"/>
      <c r="D1284" s="142" t="s">
        <v>95</v>
      </c>
      <c r="E1284" s="143" t="s">
        <v>2</v>
      </c>
      <c r="F1284" s="144" t="s">
        <v>2023</v>
      </c>
      <c r="H1284" s="145">
        <f>0.03*58.645*1.1</f>
        <v>1.9352850000000001</v>
      </c>
    </row>
    <row r="1285" spans="2:22" s="12" customFormat="1">
      <c r="B1285" s="146"/>
      <c r="D1285" s="142" t="s">
        <v>95</v>
      </c>
      <c r="E1285" s="342" t="s">
        <v>2</v>
      </c>
      <c r="F1285" s="343" t="s">
        <v>96</v>
      </c>
      <c r="H1285" s="149">
        <f>SUM(H1284)</f>
        <v>1.9352850000000001</v>
      </c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</row>
    <row r="1286" spans="2:22" s="1" customFormat="1" ht="22.5" customHeight="1">
      <c r="B1286" s="39"/>
      <c r="C1286" s="135">
        <f>C1283+1</f>
        <v>293</v>
      </c>
      <c r="D1286" s="135" t="s">
        <v>65</v>
      </c>
      <c r="E1286" s="136" t="s">
        <v>2019</v>
      </c>
      <c r="F1286" s="137" t="s">
        <v>2020</v>
      </c>
      <c r="G1286" s="138" t="s">
        <v>94</v>
      </c>
      <c r="H1286" s="139">
        <f>H1290</f>
        <v>4.1520659999999996</v>
      </c>
      <c r="I1286" s="90"/>
      <c r="J1286" s="140">
        <f>ROUND(I1286*H1286,2)</f>
        <v>0</v>
      </c>
      <c r="K1286" s="137"/>
    </row>
    <row r="1287" spans="2:22" s="11" customFormat="1" ht="27">
      <c r="B1287" s="141"/>
      <c r="D1287" s="142" t="s">
        <v>95</v>
      </c>
      <c r="E1287" s="143" t="s">
        <v>2</v>
      </c>
      <c r="F1287" s="144" t="s">
        <v>2021</v>
      </c>
      <c r="H1287" s="145">
        <f>(0.06*0.25*2)*58.645</f>
        <v>1.75935</v>
      </c>
    </row>
    <row r="1288" spans="2:22" s="11" customFormat="1" ht="27">
      <c r="B1288" s="141"/>
      <c r="D1288" s="142" t="s">
        <v>95</v>
      </c>
      <c r="E1288" s="143" t="s">
        <v>2</v>
      </c>
      <c r="F1288" s="144" t="s">
        <v>2022</v>
      </c>
      <c r="H1288" s="145">
        <f>(0.06*0.06*3)*58.645</f>
        <v>0.6333660000000001</v>
      </c>
    </row>
    <row r="1289" spans="2:22" s="11" customFormat="1">
      <c r="B1289" s="141"/>
      <c r="D1289" s="142" t="s">
        <v>95</v>
      </c>
      <c r="E1289" s="143" t="s">
        <v>2</v>
      </c>
      <c r="F1289" s="144" t="s">
        <v>2024</v>
      </c>
      <c r="H1289" s="145">
        <f>0.03*58.645</f>
        <v>1.75935</v>
      </c>
    </row>
    <row r="1290" spans="2:22" s="12" customFormat="1">
      <c r="B1290" s="146"/>
      <c r="D1290" s="142" t="s">
        <v>95</v>
      </c>
      <c r="E1290" s="342" t="s">
        <v>2</v>
      </c>
      <c r="F1290" s="343" t="s">
        <v>96</v>
      </c>
      <c r="H1290" s="149">
        <f>SUM(H1287:H1289)</f>
        <v>4.1520659999999996</v>
      </c>
      <c r="O1290" s="1"/>
    </row>
    <row r="1291" spans="2:22" s="1" customFormat="1" ht="22.15" customHeight="1">
      <c r="B1291" s="39"/>
      <c r="C1291" s="135">
        <f>C1286+1</f>
        <v>294</v>
      </c>
      <c r="D1291" s="135" t="s">
        <v>65</v>
      </c>
      <c r="E1291" s="136" t="s">
        <v>2025</v>
      </c>
      <c r="F1291" s="137" t="s">
        <v>2131</v>
      </c>
      <c r="G1291" s="138" t="s">
        <v>105</v>
      </c>
      <c r="H1291" s="139">
        <f>H1294</f>
        <v>117.29</v>
      </c>
      <c r="I1291" s="90"/>
      <c r="J1291" s="140">
        <f>ROUND(I1291*H1291,2)</f>
        <v>0</v>
      </c>
      <c r="K1291" s="137"/>
    </row>
    <row r="1292" spans="2:22" s="11" customFormat="1">
      <c r="B1292" s="141"/>
      <c r="D1292" s="142" t="s">
        <v>95</v>
      </c>
      <c r="E1292" s="143" t="s">
        <v>2</v>
      </c>
      <c r="F1292" s="144" t="s">
        <v>2030</v>
      </c>
      <c r="H1292" s="145">
        <f>58.645</f>
        <v>58.645000000000003</v>
      </c>
    </row>
    <row r="1293" spans="2:22" s="11" customFormat="1">
      <c r="B1293" s="141"/>
      <c r="D1293" s="142" t="s">
        <v>95</v>
      </c>
      <c r="E1293" s="143" t="s">
        <v>2</v>
      </c>
      <c r="F1293" s="144" t="s">
        <v>2031</v>
      </c>
      <c r="H1293" s="145">
        <f>58.645</f>
        <v>58.645000000000003</v>
      </c>
    </row>
    <row r="1294" spans="2:22" s="12" customFormat="1">
      <c r="B1294" s="146"/>
      <c r="D1294" s="142" t="s">
        <v>95</v>
      </c>
      <c r="E1294" s="147" t="s">
        <v>2</v>
      </c>
      <c r="F1294" s="148" t="s">
        <v>96</v>
      </c>
      <c r="H1294" s="149">
        <f>SUM(H1292:H1293)</f>
        <v>117.29</v>
      </c>
    </row>
    <row r="1295" spans="2:22" s="1" customFormat="1" ht="22.5" customHeight="1">
      <c r="B1295" s="39"/>
      <c r="C1295" s="150">
        <f>C1291+1</f>
        <v>295</v>
      </c>
      <c r="D1295" s="150" t="s">
        <v>123</v>
      </c>
      <c r="E1295" s="151" t="s">
        <v>2026</v>
      </c>
      <c r="F1295" s="152" t="s">
        <v>2029</v>
      </c>
      <c r="G1295" s="153" t="s">
        <v>105</v>
      </c>
      <c r="H1295" s="154">
        <f>H1298</f>
        <v>129.01900000000001</v>
      </c>
      <c r="I1295" s="91"/>
      <c r="J1295" s="155">
        <f>ROUND(I1295*H1295,2)</f>
        <v>0</v>
      </c>
      <c r="K1295" s="152"/>
    </row>
    <row r="1296" spans="2:22" s="11" customFormat="1">
      <c r="B1296" s="141"/>
      <c r="D1296" s="142" t="s">
        <v>95</v>
      </c>
      <c r="E1296" s="143" t="s">
        <v>2</v>
      </c>
      <c r="F1296" s="144" t="s">
        <v>2027</v>
      </c>
      <c r="H1296" s="145">
        <f>58.645*1.1</f>
        <v>64.509500000000003</v>
      </c>
    </row>
    <row r="1297" spans="2:22" s="11" customFormat="1">
      <c r="B1297" s="141"/>
      <c r="D1297" s="142" t="s">
        <v>95</v>
      </c>
      <c r="E1297" s="143" t="s">
        <v>2</v>
      </c>
      <c r="F1297" s="144" t="s">
        <v>2028</v>
      </c>
      <c r="H1297" s="145">
        <f>58.645*1.1</f>
        <v>64.509500000000003</v>
      </c>
    </row>
    <row r="1298" spans="2:22" s="12" customFormat="1">
      <c r="B1298" s="146"/>
      <c r="D1298" s="142" t="s">
        <v>95</v>
      </c>
      <c r="E1298" s="147" t="s">
        <v>2</v>
      </c>
      <c r="F1298" s="148" t="s">
        <v>96</v>
      </c>
      <c r="H1298" s="149">
        <f>SUM(H1296:H1297)</f>
        <v>129.01900000000001</v>
      </c>
    </row>
    <row r="1299" spans="2:22" s="1" customFormat="1" ht="22.5" customHeight="1">
      <c r="B1299" s="39"/>
      <c r="C1299" s="135">
        <f>C1295+1</f>
        <v>296</v>
      </c>
      <c r="D1299" s="135" t="s">
        <v>65</v>
      </c>
      <c r="E1299" s="136" t="s">
        <v>2032</v>
      </c>
      <c r="F1299" s="137" t="s">
        <v>2033</v>
      </c>
      <c r="G1299" s="138" t="s">
        <v>94</v>
      </c>
      <c r="H1299" s="139">
        <v>2.3540000000000001</v>
      </c>
      <c r="I1299" s="90"/>
      <c r="J1299" s="140">
        <f>ROUND(I1299*H1299,2)</f>
        <v>0</v>
      </c>
      <c r="K1299" s="137"/>
    </row>
    <row r="1300" spans="2:22" s="11" customFormat="1">
      <c r="B1300" s="141"/>
      <c r="D1300" s="142" t="s">
        <v>95</v>
      </c>
      <c r="E1300" s="143" t="s">
        <v>2</v>
      </c>
      <c r="F1300" s="144" t="s">
        <v>2123</v>
      </c>
      <c r="H1300" s="145">
        <f>58.645*0.015</f>
        <v>0.87967499999999998</v>
      </c>
    </row>
    <row r="1301" spans="2:22" s="11" customFormat="1">
      <c r="B1301" s="141"/>
      <c r="D1301" s="142" t="s">
        <v>95</v>
      </c>
      <c r="E1301" s="143" t="s">
        <v>2</v>
      </c>
      <c r="F1301" s="144" t="s">
        <v>2124</v>
      </c>
      <c r="H1301" s="145">
        <f>58.645*0.015</f>
        <v>0.87967499999999998</v>
      </c>
    </row>
    <row r="1302" spans="2:22" s="12" customFormat="1">
      <c r="B1302" s="146"/>
      <c r="D1302" s="142" t="s">
        <v>95</v>
      </c>
      <c r="E1302" s="147" t="s">
        <v>2</v>
      </c>
      <c r="F1302" s="148" t="s">
        <v>96</v>
      </c>
      <c r="H1302" s="149">
        <f>SUM(H1300:H1301)</f>
        <v>1.75935</v>
      </c>
    </row>
    <row r="1303" spans="2:22" s="1" customFormat="1" ht="22.5" customHeight="1">
      <c r="B1303" s="39"/>
      <c r="C1303" s="135">
        <f>C1299+1</f>
        <v>297</v>
      </c>
      <c r="D1303" s="135" t="s">
        <v>65</v>
      </c>
      <c r="E1303" s="136" t="s">
        <v>232</v>
      </c>
      <c r="F1303" s="137" t="s">
        <v>1310</v>
      </c>
      <c r="G1303" s="138" t="s">
        <v>261</v>
      </c>
      <c r="H1303" s="139">
        <f>SUM(J1268:J1302)</f>
        <v>0</v>
      </c>
      <c r="I1303" s="90"/>
      <c r="J1303" s="140">
        <f>ROUND(I1303%*H1303,2)</f>
        <v>0</v>
      </c>
      <c r="K1303" s="137"/>
    </row>
    <row r="1304" spans="2:22" s="10" customFormat="1" ht="29.85" customHeight="1">
      <c r="B1304" s="128"/>
      <c r="D1304" s="129" t="s">
        <v>39</v>
      </c>
      <c r="E1304" s="133" t="s">
        <v>233</v>
      </c>
      <c r="F1304" s="133" t="s">
        <v>234</v>
      </c>
      <c r="J1304" s="134">
        <f>SUM(J1305:J1311)</f>
        <v>0</v>
      </c>
    </row>
    <row r="1305" spans="2:22" s="1" customFormat="1" ht="22.5" customHeight="1">
      <c r="B1305" s="39"/>
      <c r="C1305" s="135">
        <f>C1303+1</f>
        <v>298</v>
      </c>
      <c r="D1305" s="135" t="s">
        <v>65</v>
      </c>
      <c r="E1305" s="136" t="s">
        <v>2036</v>
      </c>
      <c r="F1305" s="137" t="s">
        <v>2037</v>
      </c>
      <c r="G1305" s="138" t="s">
        <v>105</v>
      </c>
      <c r="H1305" s="139">
        <f>H1307</f>
        <v>58.645000000000003</v>
      </c>
      <c r="I1305" s="90"/>
      <c r="J1305" s="140">
        <f>ROUND(I1305*H1305,2)</f>
        <v>0</v>
      </c>
      <c r="K1305" s="137"/>
    </row>
    <row r="1306" spans="2:22" s="11" customFormat="1">
      <c r="B1306" s="141"/>
      <c r="D1306" s="142" t="s">
        <v>95</v>
      </c>
      <c r="E1306" s="143" t="s">
        <v>2</v>
      </c>
      <c r="F1306" s="144" t="s">
        <v>2035</v>
      </c>
      <c r="H1306" s="145">
        <f>58.645</f>
        <v>58.645000000000003</v>
      </c>
    </row>
    <row r="1307" spans="2:22" s="12" customFormat="1">
      <c r="B1307" s="146"/>
      <c r="D1307" s="142" t="s">
        <v>95</v>
      </c>
      <c r="E1307" s="342" t="s">
        <v>2</v>
      </c>
      <c r="F1307" s="343" t="s">
        <v>96</v>
      </c>
      <c r="H1307" s="149">
        <f>SUM(H1306)</f>
        <v>58.645000000000003</v>
      </c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</row>
    <row r="1308" spans="2:22" s="1" customFormat="1" ht="22.5" customHeight="1">
      <c r="B1308" s="39"/>
      <c r="C1308" s="150">
        <f>C1305+1</f>
        <v>299</v>
      </c>
      <c r="D1308" s="150" t="s">
        <v>123</v>
      </c>
      <c r="E1308" s="151" t="s">
        <v>2038</v>
      </c>
      <c r="F1308" s="152" t="s">
        <v>2039</v>
      </c>
      <c r="G1308" s="153" t="s">
        <v>105</v>
      </c>
      <c r="H1308" s="154">
        <f>H1310</f>
        <v>64.509500000000003</v>
      </c>
      <c r="I1308" s="91"/>
      <c r="J1308" s="155">
        <f>ROUND(I1308*H1308,2)</f>
        <v>0</v>
      </c>
      <c r="K1308" s="152"/>
    </row>
    <row r="1309" spans="2:22" s="11" customFormat="1">
      <c r="B1309" s="141"/>
      <c r="D1309" s="142" t="s">
        <v>95</v>
      </c>
      <c r="E1309" s="143" t="s">
        <v>2</v>
      </c>
      <c r="F1309" s="144" t="s">
        <v>2034</v>
      </c>
      <c r="H1309" s="145">
        <f>58.645*1.1</f>
        <v>64.509500000000003</v>
      </c>
    </row>
    <row r="1310" spans="2:22" s="12" customFormat="1">
      <c r="B1310" s="146"/>
      <c r="D1310" s="142" t="s">
        <v>95</v>
      </c>
      <c r="E1310" s="342" t="s">
        <v>2</v>
      </c>
      <c r="F1310" s="343" t="s">
        <v>96</v>
      </c>
      <c r="H1310" s="149">
        <f>SUM(H1309)</f>
        <v>64.509500000000003</v>
      </c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</row>
    <row r="1311" spans="2:22" s="1" customFormat="1" ht="22.5" customHeight="1">
      <c r="B1311" s="39"/>
      <c r="C1311" s="135">
        <f>C1308+1</f>
        <v>300</v>
      </c>
      <c r="D1311" s="135" t="s">
        <v>65</v>
      </c>
      <c r="E1311" s="136" t="s">
        <v>246</v>
      </c>
      <c r="F1311" s="137" t="s">
        <v>2040</v>
      </c>
      <c r="G1311" s="138" t="s">
        <v>261</v>
      </c>
      <c r="H1311" s="139">
        <f>SUM(J1305:J1310)</f>
        <v>0</v>
      </c>
      <c r="I1311" s="90"/>
      <c r="J1311" s="140">
        <f>ROUND(I1311%*H1311,2)</f>
        <v>0</v>
      </c>
      <c r="K1311" s="137"/>
    </row>
    <row r="1312" spans="2:22" s="10" customFormat="1" ht="29.85" customHeight="1">
      <c r="B1312" s="128"/>
      <c r="D1312" s="129" t="s">
        <v>39</v>
      </c>
      <c r="E1312" s="133" t="s">
        <v>248</v>
      </c>
      <c r="F1312" s="133" t="s">
        <v>249</v>
      </c>
      <c r="J1312" s="134">
        <v>0</v>
      </c>
    </row>
    <row r="1313" spans="2:15" s="10" customFormat="1" ht="29.85" customHeight="1">
      <c r="B1313" s="128"/>
      <c r="D1313" s="129" t="s">
        <v>39</v>
      </c>
      <c r="E1313" s="133" t="s">
        <v>257</v>
      </c>
      <c r="F1313" s="133" t="s">
        <v>258</v>
      </c>
      <c r="J1313" s="134">
        <f>SUM(J1314:J1441)</f>
        <v>0</v>
      </c>
    </row>
    <row r="1314" spans="2:15" s="1" customFormat="1" ht="15.6" customHeight="1">
      <c r="B1314" s="39"/>
      <c r="C1314" s="135">
        <f>C1311+1</f>
        <v>301</v>
      </c>
      <c r="D1314" s="135" t="s">
        <v>65</v>
      </c>
      <c r="E1314" s="136" t="s">
        <v>2050</v>
      </c>
      <c r="F1314" s="137" t="s">
        <v>2049</v>
      </c>
      <c r="G1314" s="138" t="s">
        <v>115</v>
      </c>
      <c r="H1314" s="139">
        <f>H1316</f>
        <v>7</v>
      </c>
      <c r="I1314" s="90"/>
      <c r="J1314" s="140">
        <f>ROUND(I1314*H1314,2)</f>
        <v>0</v>
      </c>
      <c r="K1314" s="137"/>
    </row>
    <row r="1315" spans="2:15" s="11" customFormat="1">
      <c r="B1315" s="141"/>
      <c r="D1315" s="142" t="s">
        <v>95</v>
      </c>
      <c r="E1315" s="143" t="s">
        <v>2</v>
      </c>
      <c r="F1315" s="144" t="s">
        <v>1548</v>
      </c>
      <c r="H1315" s="145">
        <f>(1*7)</f>
        <v>7</v>
      </c>
      <c r="O1315" s="1"/>
    </row>
    <row r="1316" spans="2:15" s="1" customFormat="1">
      <c r="B1316" s="39"/>
      <c r="C1316" s="146"/>
      <c r="D1316" s="142" t="s">
        <v>95</v>
      </c>
      <c r="E1316" s="342" t="s">
        <v>2</v>
      </c>
      <c r="F1316" s="343" t="s">
        <v>96</v>
      </c>
      <c r="G1316" s="12"/>
      <c r="H1316" s="149">
        <f>SUM(H1315:H1315)</f>
        <v>7</v>
      </c>
      <c r="I1316" s="149"/>
      <c r="J1316" s="12"/>
      <c r="K1316" s="12"/>
    </row>
    <row r="1317" spans="2:15" s="1" customFormat="1" ht="27">
      <c r="B1317" s="39"/>
      <c r="C1317" s="150">
        <f>C1314+1</f>
        <v>302</v>
      </c>
      <c r="D1317" s="150" t="s">
        <v>123</v>
      </c>
      <c r="E1317" s="151" t="s">
        <v>2051</v>
      </c>
      <c r="F1317" s="152" t="s">
        <v>2052</v>
      </c>
      <c r="G1317" s="153" t="s">
        <v>115</v>
      </c>
      <c r="H1317" s="154">
        <f>H1319</f>
        <v>7</v>
      </c>
      <c r="I1317" s="91"/>
      <c r="J1317" s="155">
        <f>ROUND(I1317*H1317,2)</f>
        <v>0</v>
      </c>
      <c r="K1317" s="152"/>
    </row>
    <row r="1318" spans="2:15" s="11" customFormat="1">
      <c r="B1318" s="141"/>
      <c r="D1318" s="142" t="s">
        <v>95</v>
      </c>
      <c r="E1318" s="143" t="s">
        <v>2</v>
      </c>
      <c r="F1318" s="144" t="s">
        <v>1548</v>
      </c>
      <c r="H1318" s="145">
        <f>(1*7)</f>
        <v>7</v>
      </c>
      <c r="O1318" s="1"/>
    </row>
    <row r="1319" spans="2:15" s="1" customFormat="1">
      <c r="B1319" s="39"/>
      <c r="C1319" s="146"/>
      <c r="D1319" s="142" t="s">
        <v>95</v>
      </c>
      <c r="E1319" s="342" t="s">
        <v>2</v>
      </c>
      <c r="F1319" s="343" t="s">
        <v>96</v>
      </c>
      <c r="G1319" s="12"/>
      <c r="H1319" s="149">
        <f>SUM(H1318:H1318)</f>
        <v>7</v>
      </c>
      <c r="I1319" s="149"/>
      <c r="J1319" s="12"/>
      <c r="K1319" s="12"/>
    </row>
    <row r="1320" spans="2:15" s="1" customFormat="1" ht="22.5" customHeight="1">
      <c r="B1320" s="39"/>
      <c r="C1320" s="135">
        <f>C1317+1</f>
        <v>303</v>
      </c>
      <c r="D1320" s="135" t="s">
        <v>65</v>
      </c>
      <c r="E1320" s="136" t="s">
        <v>1597</v>
      </c>
      <c r="F1320" s="137" t="s">
        <v>1598</v>
      </c>
      <c r="G1320" s="138" t="s">
        <v>115</v>
      </c>
      <c r="H1320" s="139">
        <f>H1322</f>
        <v>1</v>
      </c>
      <c r="I1320" s="90"/>
      <c r="J1320" s="140">
        <f>ROUND(I1320*H1320,2)</f>
        <v>0</v>
      </c>
      <c r="K1320" s="137"/>
    </row>
    <row r="1321" spans="2:15" s="11" customFormat="1">
      <c r="B1321" s="141"/>
      <c r="D1321" s="142" t="s">
        <v>95</v>
      </c>
      <c r="E1321" s="143" t="s">
        <v>2</v>
      </c>
      <c r="F1321" s="144" t="s">
        <v>1543</v>
      </c>
      <c r="H1321" s="145">
        <f>1</f>
        <v>1</v>
      </c>
      <c r="I1321" s="145"/>
      <c r="O1321" s="1"/>
    </row>
    <row r="1322" spans="2:15" s="12" customFormat="1">
      <c r="B1322" s="146"/>
      <c r="D1322" s="142" t="s">
        <v>95</v>
      </c>
      <c r="E1322" s="342" t="s">
        <v>2</v>
      </c>
      <c r="F1322" s="343" t="s">
        <v>96</v>
      </c>
      <c r="H1322" s="149">
        <f>SUM(H1321:H1321)</f>
        <v>1</v>
      </c>
      <c r="O1322" s="1"/>
    </row>
    <row r="1323" spans="2:15" s="1" customFormat="1" ht="22.5" customHeight="1">
      <c r="B1323" s="39"/>
      <c r="C1323" s="150">
        <f>C1320+1</f>
        <v>304</v>
      </c>
      <c r="D1323" s="150" t="s">
        <v>123</v>
      </c>
      <c r="E1323" s="151" t="s">
        <v>1596</v>
      </c>
      <c r="F1323" s="152" t="s">
        <v>1546</v>
      </c>
      <c r="G1323" s="153" t="s">
        <v>115</v>
      </c>
      <c r="H1323" s="154">
        <f>H1325</f>
        <v>1</v>
      </c>
      <c r="I1323" s="91"/>
      <c r="J1323" s="155">
        <f>ROUND(I1323*H1323,2)</f>
        <v>0</v>
      </c>
      <c r="K1323" s="152"/>
    </row>
    <row r="1324" spans="2:15" s="11" customFormat="1">
      <c r="B1324" s="141"/>
      <c r="D1324" s="142" t="s">
        <v>95</v>
      </c>
      <c r="E1324" s="143" t="s">
        <v>2</v>
      </c>
      <c r="F1324" s="144" t="s">
        <v>1543</v>
      </c>
      <c r="H1324" s="145">
        <f>1</f>
        <v>1</v>
      </c>
      <c r="I1324" s="145"/>
      <c r="O1324" s="1"/>
    </row>
    <row r="1325" spans="2:15" s="12" customFormat="1">
      <c r="B1325" s="146"/>
      <c r="D1325" s="142" t="s">
        <v>95</v>
      </c>
      <c r="E1325" s="342" t="s">
        <v>2</v>
      </c>
      <c r="F1325" s="343" t="s">
        <v>96</v>
      </c>
      <c r="H1325" s="149">
        <f>SUM(H1324:H1324)</f>
        <v>1</v>
      </c>
      <c r="O1325" s="1"/>
    </row>
    <row r="1326" spans="2:15" s="1" customFormat="1" ht="27">
      <c r="B1326" s="39"/>
      <c r="C1326" s="135">
        <f>C1323+1</f>
        <v>305</v>
      </c>
      <c r="D1326" s="135" t="s">
        <v>65</v>
      </c>
      <c r="E1326" s="136" t="s">
        <v>2053</v>
      </c>
      <c r="F1326" s="137" t="s">
        <v>2054</v>
      </c>
      <c r="G1326" s="138" t="s">
        <v>115</v>
      </c>
      <c r="H1326" s="139">
        <f>H1330</f>
        <v>4</v>
      </c>
      <c r="I1326" s="90"/>
      <c r="J1326" s="140">
        <f>ROUND(I1326*H1326,2)</f>
        <v>0</v>
      </c>
      <c r="K1326" s="137"/>
    </row>
    <row r="1327" spans="2:15" s="1" customFormat="1">
      <c r="B1327" s="39"/>
      <c r="C1327" s="11"/>
      <c r="D1327" s="142" t="s">
        <v>95</v>
      </c>
      <c r="E1327" s="143" t="s">
        <v>2</v>
      </c>
      <c r="F1327" s="144" t="s">
        <v>2055</v>
      </c>
      <c r="G1327" s="11"/>
      <c r="H1327" s="145">
        <f>1</f>
        <v>1</v>
      </c>
      <c r="I1327" s="11"/>
      <c r="J1327" s="11"/>
      <c r="K1327" s="11"/>
    </row>
    <row r="1328" spans="2:15" s="1" customFormat="1" ht="27">
      <c r="B1328" s="39"/>
      <c r="C1328" s="11"/>
      <c r="D1328" s="142" t="s">
        <v>95</v>
      </c>
      <c r="E1328" s="143" t="s">
        <v>2</v>
      </c>
      <c r="F1328" s="144" t="s">
        <v>2596</v>
      </c>
      <c r="G1328" s="11"/>
      <c r="H1328" s="145">
        <f>2</f>
        <v>2</v>
      </c>
      <c r="I1328" s="11"/>
      <c r="J1328" s="11"/>
      <c r="K1328" s="11"/>
    </row>
    <row r="1329" spans="2:11" s="1" customFormat="1">
      <c r="B1329" s="39"/>
      <c r="C1329" s="11"/>
      <c r="D1329" s="142" t="s">
        <v>95</v>
      </c>
      <c r="E1329" s="143" t="s">
        <v>2</v>
      </c>
      <c r="F1329" s="144" t="s">
        <v>2056</v>
      </c>
      <c r="G1329" s="11"/>
      <c r="H1329" s="145">
        <f>1</f>
        <v>1</v>
      </c>
      <c r="I1329" s="11"/>
      <c r="J1329" s="11"/>
      <c r="K1329" s="11"/>
    </row>
    <row r="1330" spans="2:11" s="1" customFormat="1">
      <c r="B1330" s="39"/>
      <c r="C1330" s="146"/>
      <c r="D1330" s="142" t="s">
        <v>95</v>
      </c>
      <c r="E1330" s="147" t="s">
        <v>2</v>
      </c>
      <c r="F1330" s="148" t="s">
        <v>96</v>
      </c>
      <c r="G1330" s="12"/>
      <c r="H1330" s="149">
        <f>SUM(H1327:H1329)</f>
        <v>4</v>
      </c>
      <c r="I1330" s="149"/>
      <c r="J1330" s="12"/>
      <c r="K1330" s="12"/>
    </row>
    <row r="1331" spans="2:11" s="1" customFormat="1" ht="37.9" customHeight="1">
      <c r="B1331" s="39"/>
      <c r="C1331" s="150">
        <f>C1326+1</f>
        <v>306</v>
      </c>
      <c r="D1331" s="150" t="s">
        <v>123</v>
      </c>
      <c r="E1331" s="151" t="s">
        <v>2059</v>
      </c>
      <c r="F1331" s="152" t="s">
        <v>2377</v>
      </c>
      <c r="G1331" s="153" t="s">
        <v>115</v>
      </c>
      <c r="H1331" s="154">
        <f>H1334</f>
        <v>2</v>
      </c>
      <c r="I1331" s="91"/>
      <c r="J1331" s="155">
        <f>ROUND(I1331*H1331,2)</f>
        <v>0</v>
      </c>
      <c r="K1331" s="152"/>
    </row>
    <row r="1332" spans="2:11" s="1" customFormat="1">
      <c r="B1332" s="39"/>
      <c r="C1332" s="11"/>
      <c r="D1332" s="142" t="s">
        <v>95</v>
      </c>
      <c r="E1332" s="143" t="s">
        <v>2</v>
      </c>
      <c r="F1332" s="144" t="s">
        <v>2378</v>
      </c>
      <c r="G1332" s="11"/>
      <c r="H1332" s="145">
        <v>1</v>
      </c>
      <c r="I1332" s="11"/>
      <c r="J1332" s="11"/>
      <c r="K1332" s="11"/>
    </row>
    <row r="1333" spans="2:11" s="1" customFormat="1">
      <c r="B1333" s="39"/>
      <c r="C1333" s="11"/>
      <c r="D1333" s="142" t="s">
        <v>95</v>
      </c>
      <c r="E1333" s="143" t="s">
        <v>2</v>
      </c>
      <c r="F1333" s="144" t="s">
        <v>2379</v>
      </c>
      <c r="G1333" s="11"/>
      <c r="H1333" s="145">
        <v>1</v>
      </c>
      <c r="I1333" s="11"/>
      <c r="J1333" s="11"/>
      <c r="K1333" s="11"/>
    </row>
    <row r="1334" spans="2:11" s="1" customFormat="1">
      <c r="B1334" s="39"/>
      <c r="C1334" s="146"/>
      <c r="D1334" s="142" t="s">
        <v>95</v>
      </c>
      <c r="E1334" s="147" t="s">
        <v>2</v>
      </c>
      <c r="F1334" s="148" t="s">
        <v>96</v>
      </c>
      <c r="G1334" s="12"/>
      <c r="H1334" s="149">
        <f>SUM(H1332:H1333)</f>
        <v>2</v>
      </c>
      <c r="I1334" s="149"/>
      <c r="J1334" s="12"/>
      <c r="K1334" s="12"/>
    </row>
    <row r="1335" spans="2:11" s="1" customFormat="1" ht="40.5">
      <c r="B1335" s="39"/>
      <c r="C1335" s="150">
        <f>C1331+1</f>
        <v>307</v>
      </c>
      <c r="D1335" s="150" t="s">
        <v>123</v>
      </c>
      <c r="E1335" s="151" t="s">
        <v>2058</v>
      </c>
      <c r="F1335" s="152" t="s">
        <v>2057</v>
      </c>
      <c r="G1335" s="153" t="s">
        <v>115</v>
      </c>
      <c r="H1335" s="154">
        <f>H1337</f>
        <v>1</v>
      </c>
      <c r="I1335" s="91"/>
      <c r="J1335" s="155">
        <f>ROUND(I1335*H1335,2)</f>
        <v>0</v>
      </c>
      <c r="K1335" s="152"/>
    </row>
    <row r="1336" spans="2:11" s="1" customFormat="1">
      <c r="B1336" s="39"/>
      <c r="C1336" s="11"/>
      <c r="D1336" s="142" t="s">
        <v>95</v>
      </c>
      <c r="E1336" s="143" t="s">
        <v>2</v>
      </c>
      <c r="F1336" s="144" t="s">
        <v>2056</v>
      </c>
      <c r="G1336" s="11"/>
      <c r="H1336" s="145">
        <v>1</v>
      </c>
      <c r="I1336" s="11"/>
      <c r="J1336" s="11"/>
      <c r="K1336" s="11"/>
    </row>
    <row r="1337" spans="2:11" s="1" customFormat="1">
      <c r="B1337" s="39"/>
      <c r="C1337" s="146"/>
      <c r="D1337" s="142" t="s">
        <v>95</v>
      </c>
      <c r="E1337" s="147" t="s">
        <v>2</v>
      </c>
      <c r="F1337" s="148" t="s">
        <v>96</v>
      </c>
      <c r="G1337" s="12"/>
      <c r="H1337" s="149">
        <f>SUM(H1336:H1336)</f>
        <v>1</v>
      </c>
      <c r="I1337" s="149"/>
      <c r="J1337" s="12"/>
      <c r="K1337" s="12"/>
    </row>
    <row r="1338" spans="2:11" s="1" customFormat="1" ht="27">
      <c r="B1338" s="39"/>
      <c r="C1338" s="135">
        <f>C1335+1</f>
        <v>308</v>
      </c>
      <c r="D1338" s="135" t="s">
        <v>65</v>
      </c>
      <c r="E1338" s="136" t="s">
        <v>2060</v>
      </c>
      <c r="F1338" s="137" t="s">
        <v>2061</v>
      </c>
      <c r="G1338" s="138" t="s">
        <v>105</v>
      </c>
      <c r="H1338" s="139">
        <f>H1340</f>
        <v>1.7729999999999999</v>
      </c>
      <c r="I1338" s="90"/>
      <c r="J1338" s="140">
        <f>ROUND(I1338*H1338,2)</f>
        <v>0</v>
      </c>
      <c r="K1338" s="137"/>
    </row>
    <row r="1339" spans="2:11" s="1" customFormat="1">
      <c r="B1339" s="39"/>
      <c r="C1339" s="11"/>
      <c r="D1339" s="142" t="s">
        <v>95</v>
      </c>
      <c r="E1339" s="143" t="s">
        <v>2</v>
      </c>
      <c r="F1339" s="144" t="s">
        <v>2062</v>
      </c>
      <c r="G1339" s="11"/>
      <c r="H1339" s="145">
        <f>0.9*1.97</f>
        <v>1.7729999999999999</v>
      </c>
      <c r="I1339" s="11"/>
      <c r="J1339" s="11"/>
      <c r="K1339" s="11"/>
    </row>
    <row r="1340" spans="2:11" s="1" customFormat="1">
      <c r="B1340" s="39"/>
      <c r="C1340" s="146"/>
      <c r="D1340" s="142" t="s">
        <v>95</v>
      </c>
      <c r="E1340" s="147" t="s">
        <v>2</v>
      </c>
      <c r="F1340" s="148" t="s">
        <v>96</v>
      </c>
      <c r="G1340" s="12"/>
      <c r="H1340" s="149">
        <f>SUM(H1339:H1339)</f>
        <v>1.7729999999999999</v>
      </c>
      <c r="I1340" s="149"/>
      <c r="J1340" s="12"/>
      <c r="K1340" s="12"/>
    </row>
    <row r="1341" spans="2:11" s="1" customFormat="1">
      <c r="B1341" s="39"/>
      <c r="C1341" s="135">
        <f>C1338+1</f>
        <v>309</v>
      </c>
      <c r="D1341" s="135" t="s">
        <v>65</v>
      </c>
      <c r="E1341" s="136" t="s">
        <v>2063</v>
      </c>
      <c r="F1341" s="137" t="s">
        <v>2064</v>
      </c>
      <c r="G1341" s="138" t="s">
        <v>105</v>
      </c>
      <c r="H1341" s="139">
        <f>H1343</f>
        <v>1.7729999999999999</v>
      </c>
      <c r="I1341" s="90"/>
      <c r="J1341" s="140">
        <f>ROUND(I1341*H1341,2)</f>
        <v>0</v>
      </c>
      <c r="K1341" s="137"/>
    </row>
    <row r="1342" spans="2:11" s="1" customFormat="1">
      <c r="B1342" s="39"/>
      <c r="C1342" s="11"/>
      <c r="D1342" s="142" t="s">
        <v>95</v>
      </c>
      <c r="E1342" s="143" t="s">
        <v>2</v>
      </c>
      <c r="F1342" s="144" t="s">
        <v>2062</v>
      </c>
      <c r="G1342" s="11"/>
      <c r="H1342" s="145">
        <f>0.9*1.97</f>
        <v>1.7729999999999999</v>
      </c>
      <c r="I1342" s="11"/>
      <c r="J1342" s="11"/>
      <c r="K1342" s="11"/>
    </row>
    <row r="1343" spans="2:11" s="1" customFormat="1">
      <c r="B1343" s="39"/>
      <c r="C1343" s="146"/>
      <c r="D1343" s="142" t="s">
        <v>95</v>
      </c>
      <c r="E1343" s="147" t="s">
        <v>2</v>
      </c>
      <c r="F1343" s="148" t="s">
        <v>96</v>
      </c>
      <c r="G1343" s="12"/>
      <c r="H1343" s="149">
        <f>SUM(H1342:H1342)</f>
        <v>1.7729999999999999</v>
      </c>
      <c r="I1343" s="149"/>
      <c r="J1343" s="12"/>
      <c r="K1343" s="12"/>
    </row>
    <row r="1344" spans="2:11" s="1" customFormat="1" ht="40.5">
      <c r="B1344" s="39"/>
      <c r="C1344" s="150">
        <f>C1341+1</f>
        <v>310</v>
      </c>
      <c r="D1344" s="150" t="s">
        <v>123</v>
      </c>
      <c r="E1344" s="151" t="s">
        <v>2597</v>
      </c>
      <c r="F1344" s="152" t="s">
        <v>2598</v>
      </c>
      <c r="G1344" s="153" t="s">
        <v>115</v>
      </c>
      <c r="H1344" s="154">
        <f>H1346</f>
        <v>2</v>
      </c>
      <c r="I1344" s="91"/>
      <c r="J1344" s="155">
        <f>ROUND(I1344*H1344,2)</f>
        <v>0</v>
      </c>
      <c r="K1344" s="152"/>
    </row>
    <row r="1345" spans="2:15" s="1" customFormat="1" ht="27">
      <c r="B1345" s="39"/>
      <c r="C1345" s="11"/>
      <c r="D1345" s="142" t="s">
        <v>95</v>
      </c>
      <c r="E1345" s="143" t="s">
        <v>2</v>
      </c>
      <c r="F1345" s="144" t="s">
        <v>2596</v>
      </c>
      <c r="G1345" s="11"/>
      <c r="H1345" s="145">
        <f>2</f>
        <v>2</v>
      </c>
      <c r="I1345" s="11"/>
      <c r="J1345" s="11"/>
      <c r="K1345" s="11"/>
    </row>
    <row r="1346" spans="2:15" s="1" customFormat="1">
      <c r="B1346" s="39"/>
      <c r="C1346" s="146"/>
      <c r="D1346" s="142" t="s">
        <v>95</v>
      </c>
      <c r="E1346" s="147" t="s">
        <v>2</v>
      </c>
      <c r="F1346" s="148" t="s">
        <v>96</v>
      </c>
      <c r="G1346" s="12"/>
      <c r="H1346" s="149">
        <f>SUM(H1345:H1345)</f>
        <v>2</v>
      </c>
      <c r="I1346" s="149"/>
      <c r="J1346" s="12"/>
      <c r="K1346" s="12"/>
    </row>
    <row r="1347" spans="2:15" s="1" customFormat="1" ht="27">
      <c r="B1347" s="39"/>
      <c r="C1347" s="135">
        <f>C1344+1</f>
        <v>311</v>
      </c>
      <c r="D1347" s="135" t="s">
        <v>65</v>
      </c>
      <c r="E1347" s="136" t="s">
        <v>2068</v>
      </c>
      <c r="F1347" s="137" t="s">
        <v>2069</v>
      </c>
      <c r="G1347" s="138" t="s">
        <v>115</v>
      </c>
      <c r="H1347" s="139">
        <f>H1349</f>
        <v>1</v>
      </c>
      <c r="I1347" s="90"/>
      <c r="J1347" s="140">
        <f>ROUND(I1347*H1347,2)</f>
        <v>0</v>
      </c>
      <c r="K1347" s="137"/>
    </row>
    <row r="1348" spans="2:15" s="1" customFormat="1">
      <c r="B1348" s="39"/>
      <c r="C1348" s="11"/>
      <c r="D1348" s="142" t="s">
        <v>95</v>
      </c>
      <c r="E1348" s="143" t="s">
        <v>2</v>
      </c>
      <c r="F1348" s="144" t="s">
        <v>2066</v>
      </c>
      <c r="G1348" s="11"/>
      <c r="H1348" s="145">
        <v>1</v>
      </c>
      <c r="I1348" s="11"/>
      <c r="J1348" s="11"/>
      <c r="K1348" s="11"/>
    </row>
    <row r="1349" spans="2:15" s="1" customFormat="1">
      <c r="B1349" s="39"/>
      <c r="C1349" s="146"/>
      <c r="D1349" s="142" t="s">
        <v>95</v>
      </c>
      <c r="E1349" s="147" t="s">
        <v>2</v>
      </c>
      <c r="F1349" s="148" t="s">
        <v>96</v>
      </c>
      <c r="G1349" s="12"/>
      <c r="H1349" s="149">
        <f>SUM(H1348:H1348)</f>
        <v>1</v>
      </c>
      <c r="I1349" s="149"/>
      <c r="J1349" s="12"/>
      <c r="K1349" s="12"/>
    </row>
    <row r="1350" spans="2:15" s="1" customFormat="1" ht="37.9" customHeight="1">
      <c r="B1350" s="39"/>
      <c r="C1350" s="150">
        <f>C1347+1</f>
        <v>312</v>
      </c>
      <c r="D1350" s="150" t="s">
        <v>123</v>
      </c>
      <c r="E1350" s="151" t="s">
        <v>2065</v>
      </c>
      <c r="F1350" s="152" t="s">
        <v>2067</v>
      </c>
      <c r="G1350" s="153" t="s">
        <v>115</v>
      </c>
      <c r="H1350" s="154">
        <f>H1352</f>
        <v>1</v>
      </c>
      <c r="I1350" s="91"/>
      <c r="J1350" s="155">
        <f>ROUND(I1350*H1350,2)</f>
        <v>0</v>
      </c>
      <c r="K1350" s="152"/>
    </row>
    <row r="1351" spans="2:15" s="1" customFormat="1">
      <c r="B1351" s="39"/>
      <c r="C1351" s="11"/>
      <c r="D1351" s="142" t="s">
        <v>95</v>
      </c>
      <c r="E1351" s="143" t="s">
        <v>2</v>
      </c>
      <c r="F1351" s="144" t="s">
        <v>2066</v>
      </c>
      <c r="G1351" s="11"/>
      <c r="H1351" s="145">
        <v>1</v>
      </c>
      <c r="I1351" s="11"/>
      <c r="J1351" s="11"/>
      <c r="K1351" s="11"/>
    </row>
    <row r="1352" spans="2:15" s="1" customFormat="1">
      <c r="B1352" s="39"/>
      <c r="C1352" s="146"/>
      <c r="D1352" s="142" t="s">
        <v>95</v>
      </c>
      <c r="E1352" s="147" t="s">
        <v>2</v>
      </c>
      <c r="F1352" s="148" t="s">
        <v>96</v>
      </c>
      <c r="G1352" s="12"/>
      <c r="H1352" s="149">
        <f>SUM(H1351:H1351)</f>
        <v>1</v>
      </c>
      <c r="I1352" s="149"/>
      <c r="J1352" s="12"/>
      <c r="K1352" s="12"/>
    </row>
    <row r="1353" spans="2:15" s="12" customFormat="1" ht="28.9" customHeight="1">
      <c r="B1353" s="146"/>
      <c r="C1353" s="135">
        <f>C1350+1</f>
        <v>313</v>
      </c>
      <c r="D1353" s="304" t="s">
        <v>65</v>
      </c>
      <c r="E1353" s="305" t="s">
        <v>2084</v>
      </c>
      <c r="F1353" s="306" t="s">
        <v>2085</v>
      </c>
      <c r="G1353" s="307" t="s">
        <v>155</v>
      </c>
      <c r="H1353" s="139">
        <f>H1359</f>
        <v>269.40434999999997</v>
      </c>
      <c r="I1353" s="90"/>
      <c r="J1353" s="140">
        <f>ROUND(I1353*H1353,2)</f>
        <v>0</v>
      </c>
      <c r="K1353" s="137"/>
      <c r="O1353" s="1"/>
    </row>
    <row r="1354" spans="2:15" s="11" customFormat="1" ht="40.5">
      <c r="B1354" s="141"/>
      <c r="D1354" s="142" t="s">
        <v>95</v>
      </c>
      <c r="E1354" s="143" t="s">
        <v>2</v>
      </c>
      <c r="F1354" s="144" t="s">
        <v>2087</v>
      </c>
      <c r="H1354" s="145">
        <f>(0.42+0.4+0.94+0.4+2.24+0.2+1.25+2.3+0.37+0.5+0.7+0.5+0.86+0.5+1.14+0.5+0.58+0.54+0.12+0.09+0.89+0.09+0.12+0.785+1.16+0.195)*1.9*3</f>
        <v>101.40299999999999</v>
      </c>
      <c r="O1354" s="1"/>
    </row>
    <row r="1355" spans="2:15" s="11" customFormat="1">
      <c r="B1355" s="141"/>
      <c r="D1355" s="142" t="s">
        <v>95</v>
      </c>
      <c r="E1355" s="143" t="s">
        <v>2</v>
      </c>
      <c r="F1355" s="144" t="s">
        <v>2088</v>
      </c>
      <c r="H1355" s="145">
        <f>(1+0.147+0.1+0.9+0.1+0.147+1)*2.5*3</f>
        <v>25.454999999999998</v>
      </c>
      <c r="O1355" s="1"/>
    </row>
    <row r="1356" spans="2:15" s="11" customFormat="1">
      <c r="B1356" s="141"/>
      <c r="D1356" s="142" t="s">
        <v>95</v>
      </c>
      <c r="E1356" s="143" t="s">
        <v>2</v>
      </c>
      <c r="F1356" s="144" t="s">
        <v>2091</v>
      </c>
      <c r="H1356" s="145">
        <f>(2.33+0.25+1.175+0.25+0.535+0.15+0.15+2.295)*0.97*3</f>
        <v>20.76285</v>
      </c>
      <c r="O1356" s="1"/>
    </row>
    <row r="1357" spans="2:15" s="11" customFormat="1" ht="27">
      <c r="B1357" s="141"/>
      <c r="D1357" s="142" t="s">
        <v>95</v>
      </c>
      <c r="E1357" s="143" t="s">
        <v>2</v>
      </c>
      <c r="F1357" s="144" t="s">
        <v>2086</v>
      </c>
      <c r="H1357" s="145">
        <f>(0.86+0.5+0.605+1.76+0.415+0.34+0.34+1.315)*0.97*3</f>
        <v>17.85285</v>
      </c>
      <c r="O1357" s="1"/>
    </row>
    <row r="1358" spans="2:15" s="11" customFormat="1" ht="54">
      <c r="B1358" s="141"/>
      <c r="D1358" s="142" t="s">
        <v>95</v>
      </c>
      <c r="E1358" s="143" t="s">
        <v>2</v>
      </c>
      <c r="F1358" s="144" t="s">
        <v>2092</v>
      </c>
      <c r="H1358" s="145">
        <f>((1.372+0.341+1.183+0.341+0.24+0.344+1.183+0.344+1.902)+(2.44+0.148+0.1+0.148+1.885+0.03+0.775+0.03+0.185+1.22+2.365)+(0.626+0.291+1.147+0.291+4.106)+(0.882+0.341+1.156+0.341+1.224+0.341+1.156+0.341+1.224+0.341+1.156+0.341+1.224+0.341+1.156+0.341+0.772))*0.97*3</f>
        <v>103.93064999999999</v>
      </c>
      <c r="O1358" s="1"/>
    </row>
    <row r="1359" spans="2:15" s="12" customFormat="1">
      <c r="B1359" s="146"/>
      <c r="D1359" s="142" t="s">
        <v>95</v>
      </c>
      <c r="E1359" s="147" t="s">
        <v>2</v>
      </c>
      <c r="F1359" s="148" t="s">
        <v>96</v>
      </c>
      <c r="H1359" s="149">
        <f>SUM(H1354:H1358)</f>
        <v>269.40434999999997</v>
      </c>
      <c r="O1359" s="1"/>
    </row>
    <row r="1360" spans="2:15" s="349" customFormat="1" ht="28.9" customHeight="1">
      <c r="B1360" s="348"/>
      <c r="C1360" s="150">
        <f>C1353+1</f>
        <v>314</v>
      </c>
      <c r="D1360" s="357" t="s">
        <v>123</v>
      </c>
      <c r="E1360" s="358" t="s">
        <v>2093</v>
      </c>
      <c r="F1360" s="359" t="s">
        <v>2113</v>
      </c>
      <c r="G1360" s="360" t="s">
        <v>155</v>
      </c>
      <c r="H1360" s="154">
        <f>H1366</f>
        <v>296.344785</v>
      </c>
      <c r="I1360" s="91"/>
      <c r="J1360" s="155">
        <f>ROUND(I1360*H1360,2)</f>
        <v>0</v>
      </c>
      <c r="K1360" s="152"/>
    </row>
    <row r="1361" spans="2:15" s="11" customFormat="1" ht="40.5">
      <c r="B1361" s="141"/>
      <c r="D1361" s="142" t="s">
        <v>95</v>
      </c>
      <c r="E1361" s="143" t="s">
        <v>2</v>
      </c>
      <c r="F1361" s="144" t="s">
        <v>2094</v>
      </c>
      <c r="H1361" s="145">
        <f>(0.42+0.4+0.94+0.4+2.24+0.2+1.25+2.3+0.37+0.5+0.7+0.5+0.86+0.5+1.14+0.5+0.58+0.54+0.12+0.09+0.89+0.09+0.12+0.785+1.16+0.195)*1.9*3*1.1</f>
        <v>111.5433</v>
      </c>
      <c r="O1361" s="1"/>
    </row>
    <row r="1362" spans="2:15" s="11" customFormat="1" ht="27">
      <c r="B1362" s="141"/>
      <c r="D1362" s="142" t="s">
        <v>95</v>
      </c>
      <c r="E1362" s="143" t="s">
        <v>2</v>
      </c>
      <c r="F1362" s="144" t="s">
        <v>2095</v>
      </c>
      <c r="H1362" s="145">
        <f>(1+0.147+0.1+0.9+0.1+0.147+1)*2.5*3*1.1</f>
        <v>28.000499999999999</v>
      </c>
      <c r="O1362" s="1"/>
    </row>
    <row r="1363" spans="2:15" s="11" customFormat="1" ht="27">
      <c r="B1363" s="141"/>
      <c r="D1363" s="142" t="s">
        <v>95</v>
      </c>
      <c r="E1363" s="143" t="s">
        <v>2</v>
      </c>
      <c r="F1363" s="144" t="s">
        <v>2096</v>
      </c>
      <c r="H1363" s="145">
        <f>(2.33+0.25+1.175+0.25+0.535+0.15+0.15+2.295)*0.97*3*1.1</f>
        <v>22.839135000000002</v>
      </c>
      <c r="O1363" s="1"/>
    </row>
    <row r="1364" spans="2:15" s="11" customFormat="1" ht="27">
      <c r="B1364" s="141"/>
      <c r="D1364" s="142" t="s">
        <v>95</v>
      </c>
      <c r="E1364" s="143" t="s">
        <v>2</v>
      </c>
      <c r="F1364" s="144" t="s">
        <v>2097</v>
      </c>
      <c r="H1364" s="145">
        <f>(0.86+0.5+0.605+1.76+0.415+0.34+0.34+1.315)*0.97*3*1.1</f>
        <v>19.638135000000002</v>
      </c>
      <c r="O1364" s="1"/>
    </row>
    <row r="1365" spans="2:15" s="11" customFormat="1" ht="54">
      <c r="B1365" s="141"/>
      <c r="D1365" s="142" t="s">
        <v>95</v>
      </c>
      <c r="E1365" s="143" t="s">
        <v>2</v>
      </c>
      <c r="F1365" s="144" t="s">
        <v>2098</v>
      </c>
      <c r="H1365" s="145">
        <f>((1.372+0.341+1.183+0.341+0.24+0.344+1.183+0.344+1.902)+(2.44+0.148+0.1+0.148+1.885+0.03+0.775+0.03+0.185+1.22+2.365)+(0.626+0.291+1.147+0.291+4.106)+(0.882+0.341+1.156+0.341+1.224+0.341+1.156+0.341+1.224+0.341+1.156+0.341+1.224+0.341+1.156+0.341+0.772))*0.97*3*1.1</f>
        <v>114.32371499999999</v>
      </c>
      <c r="O1365" s="1"/>
    </row>
    <row r="1366" spans="2:15" s="12" customFormat="1">
      <c r="B1366" s="146"/>
      <c r="D1366" s="142" t="s">
        <v>95</v>
      </c>
      <c r="E1366" s="147" t="s">
        <v>2</v>
      </c>
      <c r="F1366" s="148" t="s">
        <v>96</v>
      </c>
      <c r="H1366" s="149">
        <f>SUM(H1361:H1365)</f>
        <v>296.344785</v>
      </c>
      <c r="O1366" s="1"/>
    </row>
    <row r="1367" spans="2:15" s="12" customFormat="1" ht="28.9" customHeight="1">
      <c r="B1367" s="146"/>
      <c r="C1367" s="135">
        <f>C1360+1</f>
        <v>315</v>
      </c>
      <c r="D1367" s="304" t="s">
        <v>65</v>
      </c>
      <c r="E1367" s="305" t="s">
        <v>2079</v>
      </c>
      <c r="F1367" s="306" t="s">
        <v>2080</v>
      </c>
      <c r="G1367" s="307" t="s">
        <v>105</v>
      </c>
      <c r="H1367" s="139">
        <f>H1373</f>
        <v>89.801449999999988</v>
      </c>
      <c r="I1367" s="90"/>
      <c r="J1367" s="140">
        <f>ROUND(I1367*H1367,2)</f>
        <v>0</v>
      </c>
      <c r="K1367" s="137"/>
      <c r="O1367" s="1"/>
    </row>
    <row r="1368" spans="2:15" s="11" customFormat="1" ht="40.5">
      <c r="B1368" s="141"/>
      <c r="D1368" s="142" t="s">
        <v>95</v>
      </c>
      <c r="E1368" s="143" t="s">
        <v>2</v>
      </c>
      <c r="F1368" s="144" t="s">
        <v>2081</v>
      </c>
      <c r="H1368" s="145">
        <f>(0.42+0.4+0.94+0.4+2.24+0.2+1.25+2.3+0.37+0.5+0.7+0.5+0.86+0.5+1.14+0.5+0.58+0.54+0.12+0.09+0.89+0.09+0.12+0.785+1.16+0.195)*1.9</f>
        <v>33.800999999999995</v>
      </c>
      <c r="O1368" s="1"/>
    </row>
    <row r="1369" spans="2:15" s="11" customFormat="1">
      <c r="B1369" s="141"/>
      <c r="D1369" s="142" t="s">
        <v>95</v>
      </c>
      <c r="E1369" s="143" t="s">
        <v>2</v>
      </c>
      <c r="F1369" s="144" t="s">
        <v>2089</v>
      </c>
      <c r="H1369" s="145">
        <f>(1+0.147+0.1+0.9+0.1+0.147+1)*2.5</f>
        <v>8.4849999999999994</v>
      </c>
      <c r="O1369" s="1"/>
    </row>
    <row r="1370" spans="2:15" s="11" customFormat="1">
      <c r="B1370" s="141"/>
      <c r="D1370" s="142" t="s">
        <v>95</v>
      </c>
      <c r="E1370" s="143" t="s">
        <v>2</v>
      </c>
      <c r="F1370" s="144" t="s">
        <v>2082</v>
      </c>
      <c r="H1370" s="145">
        <f>(2.33+0.25+1.175+0.25+0.535+0.15+0.15+2.295)*0.97</f>
        <v>6.9209500000000004</v>
      </c>
      <c r="O1370" s="1"/>
    </row>
    <row r="1371" spans="2:15" s="11" customFormat="1" ht="27">
      <c r="B1371" s="141"/>
      <c r="D1371" s="142" t="s">
        <v>95</v>
      </c>
      <c r="E1371" s="143" t="s">
        <v>2</v>
      </c>
      <c r="F1371" s="144" t="s">
        <v>2090</v>
      </c>
      <c r="H1371" s="145">
        <f>(0.86+0.5+0.605+1.76+0.415+0.34+0.34+1.315)*0.97</f>
        <v>5.9509499999999997</v>
      </c>
      <c r="O1371" s="1"/>
    </row>
    <row r="1372" spans="2:15" s="11" customFormat="1" ht="54">
      <c r="B1372" s="141"/>
      <c r="D1372" s="142" t="s">
        <v>95</v>
      </c>
      <c r="E1372" s="143" t="s">
        <v>2</v>
      </c>
      <c r="F1372" s="144" t="s">
        <v>2083</v>
      </c>
      <c r="H1372" s="145">
        <f>((1.372+0.341+1.183+0.341+0.24+0.344+1.183+0.344+1.902)+(2.44+0.148+0.1+0.148+1.885+0.03+0.775+0.03+0.185+1.22+2.365)+(0.626+0.291+1.147+0.291+4.106)+(0.882+0.341+1.156+0.341+1.224+0.341+1.156+0.341+1.224+0.341+1.156+0.341+1.224+0.341+1.156+0.341+0.772))*0.97</f>
        <v>34.643549999999998</v>
      </c>
      <c r="O1372" s="1"/>
    </row>
    <row r="1373" spans="2:15" s="12" customFormat="1">
      <c r="B1373" s="146"/>
      <c r="D1373" s="142" t="s">
        <v>95</v>
      </c>
      <c r="E1373" s="147" t="s">
        <v>2</v>
      </c>
      <c r="F1373" s="148" t="s">
        <v>96</v>
      </c>
      <c r="H1373" s="149">
        <f>SUM(H1368:H1372)</f>
        <v>89.801449999999988</v>
      </c>
      <c r="O1373" s="1"/>
    </row>
    <row r="1374" spans="2:15" s="349" customFormat="1" ht="28.9" customHeight="1">
      <c r="B1374" s="348"/>
      <c r="C1374" s="150">
        <f>C1367+1</f>
        <v>316</v>
      </c>
      <c r="D1374" s="357" t="s">
        <v>123</v>
      </c>
      <c r="E1374" s="358" t="s">
        <v>2099</v>
      </c>
      <c r="F1374" s="359" t="s">
        <v>2112</v>
      </c>
      <c r="G1374" s="360" t="s">
        <v>105</v>
      </c>
      <c r="H1374" s="154">
        <f>H1380</f>
        <v>98.78159500000001</v>
      </c>
      <c r="I1374" s="91"/>
      <c r="J1374" s="155">
        <f>ROUND(I1374*H1374,2)</f>
        <v>0</v>
      </c>
      <c r="K1374" s="152"/>
    </row>
    <row r="1375" spans="2:15" s="11" customFormat="1" ht="40.5">
      <c r="B1375" s="141"/>
      <c r="D1375" s="142" t="s">
        <v>95</v>
      </c>
      <c r="E1375" s="143" t="s">
        <v>2</v>
      </c>
      <c r="F1375" s="144" t="s">
        <v>2100</v>
      </c>
      <c r="H1375" s="145">
        <f>(0.42+0.4+0.94+0.4+2.24+0.2+1.25+2.3+0.37+0.5+0.7+0.5+0.86+0.5+1.14+0.5+0.58+0.54+0.12+0.09+0.89+0.09+0.12+0.785+1.16+0.195)*1.9*1.1</f>
        <v>37.181100000000001</v>
      </c>
      <c r="O1375" s="1"/>
    </row>
    <row r="1376" spans="2:15" s="11" customFormat="1" ht="27">
      <c r="B1376" s="141"/>
      <c r="D1376" s="142" t="s">
        <v>95</v>
      </c>
      <c r="E1376" s="143" t="s">
        <v>2</v>
      </c>
      <c r="F1376" s="144" t="s">
        <v>2101</v>
      </c>
      <c r="H1376" s="145">
        <f>(1+0.147+0.1+0.9+0.1+0.147+1)*2.5*1.1</f>
        <v>9.3335000000000008</v>
      </c>
      <c r="O1376" s="1"/>
    </row>
    <row r="1377" spans="2:15" s="11" customFormat="1" ht="27">
      <c r="B1377" s="141"/>
      <c r="D1377" s="142" t="s">
        <v>95</v>
      </c>
      <c r="E1377" s="143" t="s">
        <v>2</v>
      </c>
      <c r="F1377" s="144" t="s">
        <v>2102</v>
      </c>
      <c r="H1377" s="145">
        <f>(2.33+0.25+1.175+0.25+0.535+0.15+0.15+2.295)*0.97*1.1</f>
        <v>7.6130450000000014</v>
      </c>
      <c r="O1377" s="1"/>
    </row>
    <row r="1378" spans="2:15" s="11" customFormat="1" ht="27">
      <c r="B1378" s="141"/>
      <c r="D1378" s="142" t="s">
        <v>95</v>
      </c>
      <c r="E1378" s="143" t="s">
        <v>2</v>
      </c>
      <c r="F1378" s="144" t="s">
        <v>2103</v>
      </c>
      <c r="H1378" s="145">
        <f>(0.86+0.5+0.605+1.76+0.415+0.34+0.34+1.315)*0.97*1.1</f>
        <v>6.5460450000000003</v>
      </c>
      <c r="O1378" s="1"/>
    </row>
    <row r="1379" spans="2:15" s="11" customFormat="1" ht="54">
      <c r="B1379" s="141"/>
      <c r="D1379" s="142" t="s">
        <v>95</v>
      </c>
      <c r="E1379" s="143" t="s">
        <v>2</v>
      </c>
      <c r="F1379" s="144" t="s">
        <v>2104</v>
      </c>
      <c r="H1379" s="145">
        <f>((1.372+0.341+1.183+0.341+0.24+0.344+1.183+0.344+1.902)+(2.44+0.148+0.1+0.148+1.885+0.03+0.775+0.03+0.185+1.22+2.365)+(0.626+0.291+1.147+0.291+4.106)+(0.882+0.341+1.156+0.341+1.224+0.341+1.156+0.341+1.224+0.341+1.156+0.341+1.224+0.341+1.156+0.341+0.772))*0.97*1.1</f>
        <v>38.107905000000002</v>
      </c>
      <c r="O1379" s="1"/>
    </row>
    <row r="1380" spans="2:15" s="12" customFormat="1">
      <c r="B1380" s="146"/>
      <c r="D1380" s="142" t="s">
        <v>95</v>
      </c>
      <c r="E1380" s="147" t="s">
        <v>2</v>
      </c>
      <c r="F1380" s="148" t="s">
        <v>96</v>
      </c>
      <c r="H1380" s="149">
        <f>SUM(H1375:H1379)</f>
        <v>98.78159500000001</v>
      </c>
      <c r="O1380" s="1"/>
    </row>
    <row r="1381" spans="2:15" s="12" customFormat="1" ht="28.9" customHeight="1">
      <c r="B1381" s="146"/>
      <c r="C1381" s="135">
        <f>C1374+1</f>
        <v>317</v>
      </c>
      <c r="D1381" s="304" t="s">
        <v>65</v>
      </c>
      <c r="E1381" s="305" t="s">
        <v>2105</v>
      </c>
      <c r="F1381" s="306" t="s">
        <v>2111</v>
      </c>
      <c r="G1381" s="307" t="s">
        <v>155</v>
      </c>
      <c r="H1381" s="139">
        <f>H1387</f>
        <v>359.20579999999995</v>
      </c>
      <c r="I1381" s="90"/>
      <c r="J1381" s="140">
        <f>ROUND(I1381*H1381,2)</f>
        <v>0</v>
      </c>
      <c r="K1381" s="137"/>
      <c r="O1381" s="1"/>
    </row>
    <row r="1382" spans="2:15" s="11" customFormat="1" ht="40.5">
      <c r="B1382" s="141"/>
      <c r="D1382" s="142" t="s">
        <v>95</v>
      </c>
      <c r="E1382" s="143" t="s">
        <v>2</v>
      </c>
      <c r="F1382" s="144" t="s">
        <v>2106</v>
      </c>
      <c r="H1382" s="145">
        <f>(0.42+0.4+0.94+0.4+2.24+0.2+1.25+2.3+0.37+0.5+0.7+0.5+0.86+0.5+1.14+0.5+0.58+0.54+0.12+0.09+0.89+0.09+0.12+0.785+1.16+0.195)*1.9*4</f>
        <v>135.20399999999998</v>
      </c>
      <c r="O1382" s="1"/>
    </row>
    <row r="1383" spans="2:15" s="11" customFormat="1">
      <c r="B1383" s="141"/>
      <c r="D1383" s="142" t="s">
        <v>95</v>
      </c>
      <c r="E1383" s="143" t="s">
        <v>2</v>
      </c>
      <c r="F1383" s="144" t="s">
        <v>2107</v>
      </c>
      <c r="H1383" s="145">
        <f>(1+0.147+0.1+0.9+0.1+0.147+1)*2.5*4</f>
        <v>33.94</v>
      </c>
      <c r="O1383" s="1"/>
    </row>
    <row r="1384" spans="2:15" s="11" customFormat="1">
      <c r="B1384" s="141"/>
      <c r="D1384" s="142" t="s">
        <v>95</v>
      </c>
      <c r="E1384" s="143" t="s">
        <v>2</v>
      </c>
      <c r="F1384" s="144" t="s">
        <v>2108</v>
      </c>
      <c r="H1384" s="145">
        <f>(2.33+0.25+1.175+0.25+0.535+0.15+0.15+2.295)*0.97*4</f>
        <v>27.683800000000002</v>
      </c>
      <c r="O1384" s="1"/>
    </row>
    <row r="1385" spans="2:15" s="11" customFormat="1" ht="27">
      <c r="B1385" s="141"/>
      <c r="D1385" s="142" t="s">
        <v>95</v>
      </c>
      <c r="E1385" s="143" t="s">
        <v>2</v>
      </c>
      <c r="F1385" s="144" t="s">
        <v>2109</v>
      </c>
      <c r="H1385" s="145">
        <f>(0.86+0.5+0.605+1.76+0.415+0.34+0.34+1.315)*0.97*4</f>
        <v>23.803799999999999</v>
      </c>
      <c r="O1385" s="1"/>
    </row>
    <row r="1386" spans="2:15" s="11" customFormat="1" ht="54">
      <c r="B1386" s="141"/>
      <c r="D1386" s="142" t="s">
        <v>95</v>
      </c>
      <c r="E1386" s="143" t="s">
        <v>2</v>
      </c>
      <c r="F1386" s="144" t="s">
        <v>2110</v>
      </c>
      <c r="H1386" s="145">
        <f>((1.372+0.341+1.183+0.341+0.24+0.344+1.183+0.344+1.902)+(2.44+0.148+0.1+0.148+1.885+0.03+0.775+0.03+0.185+1.22+2.365)+(0.626+0.291+1.147+0.291+4.106)+(0.882+0.341+1.156+0.341+1.224+0.341+1.156+0.341+1.224+0.341+1.156+0.341+1.224+0.341+1.156+0.341+0.772))*0.97*4</f>
        <v>138.57419999999999</v>
      </c>
      <c r="O1386" s="1"/>
    </row>
    <row r="1387" spans="2:15" s="12" customFormat="1">
      <c r="B1387" s="146"/>
      <c r="D1387" s="142" t="s">
        <v>95</v>
      </c>
      <c r="E1387" s="147" t="s">
        <v>2</v>
      </c>
      <c r="F1387" s="148" t="s">
        <v>96</v>
      </c>
      <c r="H1387" s="149">
        <f>SUM(H1382:H1386)</f>
        <v>359.20579999999995</v>
      </c>
      <c r="O1387" s="1"/>
    </row>
    <row r="1388" spans="2:15" s="349" customFormat="1" ht="28.9" customHeight="1">
      <c r="B1388" s="348"/>
      <c r="C1388" s="150">
        <f>C1381+1</f>
        <v>318</v>
      </c>
      <c r="D1388" s="357" t="s">
        <v>123</v>
      </c>
      <c r="E1388" s="358" t="s">
        <v>2099</v>
      </c>
      <c r="F1388" s="359" t="s">
        <v>2116</v>
      </c>
      <c r="G1388" s="360" t="s">
        <v>155</v>
      </c>
      <c r="H1388" s="154">
        <f>H1394</f>
        <v>395.12638000000004</v>
      </c>
      <c r="I1388" s="91"/>
      <c r="J1388" s="155">
        <f>ROUND(I1388*H1388,2)</f>
        <v>0</v>
      </c>
      <c r="K1388" s="152"/>
    </row>
    <row r="1389" spans="2:15" s="11" customFormat="1" ht="40.5">
      <c r="B1389" s="141"/>
      <c r="D1389" s="142" t="s">
        <v>95</v>
      </c>
      <c r="E1389" s="143" t="s">
        <v>2</v>
      </c>
      <c r="F1389" s="144" t="s">
        <v>2117</v>
      </c>
      <c r="H1389" s="145">
        <f>(0.42+0.4+0.94+0.4+2.24+0.2+1.25+2.3+0.37+0.5+0.7+0.5+0.86+0.5+1.14+0.5+0.58+0.54+0.12+0.09+0.89+0.09+0.12+0.785+1.16+0.195)*1.9*4*1.1</f>
        <v>148.7244</v>
      </c>
      <c r="O1389" s="1"/>
    </row>
    <row r="1390" spans="2:15" s="11" customFormat="1" ht="27">
      <c r="B1390" s="141"/>
      <c r="D1390" s="142" t="s">
        <v>95</v>
      </c>
      <c r="E1390" s="143" t="s">
        <v>2</v>
      </c>
      <c r="F1390" s="144" t="s">
        <v>2118</v>
      </c>
      <c r="H1390" s="145">
        <f>(1+0.147+0.1+0.9+0.1+0.147+1)*2.5*4*1.1</f>
        <v>37.334000000000003</v>
      </c>
      <c r="O1390" s="1"/>
    </row>
    <row r="1391" spans="2:15" s="11" customFormat="1" ht="27">
      <c r="B1391" s="141"/>
      <c r="D1391" s="142" t="s">
        <v>95</v>
      </c>
      <c r="E1391" s="143" t="s">
        <v>2</v>
      </c>
      <c r="F1391" s="144" t="s">
        <v>2119</v>
      </c>
      <c r="H1391" s="145">
        <f>(2.33+0.25+1.175+0.25+0.535+0.15+0.15+2.295)*0.97*4*1.1</f>
        <v>30.452180000000006</v>
      </c>
      <c r="O1391" s="1"/>
    </row>
    <row r="1392" spans="2:15" s="11" customFormat="1" ht="27">
      <c r="B1392" s="141"/>
      <c r="D1392" s="142" t="s">
        <v>95</v>
      </c>
      <c r="E1392" s="143" t="s">
        <v>2</v>
      </c>
      <c r="F1392" s="144" t="s">
        <v>2120</v>
      </c>
      <c r="H1392" s="145">
        <f>(0.86+0.5+0.605+1.76+0.415+0.34+0.34+1.315)*0.97*4*1.1</f>
        <v>26.184180000000001</v>
      </c>
      <c r="O1392" s="1"/>
    </row>
    <row r="1393" spans="2:15" s="11" customFormat="1" ht="54">
      <c r="B1393" s="141"/>
      <c r="D1393" s="142" t="s">
        <v>95</v>
      </c>
      <c r="E1393" s="143" t="s">
        <v>2</v>
      </c>
      <c r="F1393" s="144" t="s">
        <v>2121</v>
      </c>
      <c r="H1393" s="145">
        <f>((1.372+0.341+1.183+0.341+0.24+0.344+1.183+0.344+1.902)+(2.44+0.148+0.1+0.148+1.885+0.03+0.775+0.03+0.185+1.22+2.365)+(0.626+0.291+1.147+0.291+4.106)+(0.882+0.341+1.156+0.341+1.224+0.341+1.156+0.341+1.224+0.341+1.156+0.341+1.224+0.341+1.156+0.341+0.772))*0.97*4*1.1</f>
        <v>152.43162000000001</v>
      </c>
      <c r="O1393" s="1"/>
    </row>
    <row r="1394" spans="2:15" s="12" customFormat="1">
      <c r="B1394" s="146"/>
      <c r="D1394" s="142" t="s">
        <v>95</v>
      </c>
      <c r="E1394" s="147" t="s">
        <v>2</v>
      </c>
      <c r="F1394" s="148" t="s">
        <v>96</v>
      </c>
      <c r="H1394" s="149">
        <f>SUM(H1389:H1393)</f>
        <v>395.12638000000004</v>
      </c>
      <c r="O1394" s="1"/>
    </row>
    <row r="1395" spans="2:15" s="1" customFormat="1" ht="22.5" customHeight="1">
      <c r="B1395" s="39"/>
      <c r="C1395" s="135">
        <f>C1388+1</f>
        <v>319</v>
      </c>
      <c r="D1395" s="135" t="s">
        <v>65</v>
      </c>
      <c r="E1395" s="136" t="s">
        <v>2128</v>
      </c>
      <c r="F1395" s="137" t="s">
        <v>2122</v>
      </c>
      <c r="G1395" s="138" t="s">
        <v>94</v>
      </c>
      <c r="H1395" s="139">
        <v>2.3540000000000001</v>
      </c>
      <c r="I1395" s="90"/>
      <c r="J1395" s="140">
        <f>ROUND(I1395*H1395,2)</f>
        <v>0</v>
      </c>
      <c r="K1395" s="137"/>
    </row>
    <row r="1396" spans="2:15" s="11" customFormat="1">
      <c r="B1396" s="141"/>
      <c r="D1396" s="142" t="s">
        <v>95</v>
      </c>
      <c r="E1396" s="143" t="s">
        <v>2</v>
      </c>
      <c r="F1396" s="144" t="s">
        <v>2126</v>
      </c>
      <c r="H1396" s="145">
        <f>359.206*0.06*0.04</f>
        <v>0.86209440000000004</v>
      </c>
    </row>
    <row r="1397" spans="2:15" s="11" customFormat="1">
      <c r="B1397" s="141"/>
      <c r="D1397" s="142" t="s">
        <v>95</v>
      </c>
      <c r="E1397" s="143" t="s">
        <v>2</v>
      </c>
      <c r="F1397" s="144" t="s">
        <v>2125</v>
      </c>
      <c r="H1397" s="145">
        <f>89.801*0.018</f>
        <v>1.6164179999999999</v>
      </c>
    </row>
    <row r="1398" spans="2:15" s="12" customFormat="1">
      <c r="B1398" s="146"/>
      <c r="D1398" s="142" t="s">
        <v>95</v>
      </c>
      <c r="E1398" s="147" t="s">
        <v>2</v>
      </c>
      <c r="F1398" s="148" t="s">
        <v>96</v>
      </c>
      <c r="H1398" s="149">
        <f>SUM(H1396:H1397)</f>
        <v>2.4785124000000001</v>
      </c>
    </row>
    <row r="1399" spans="2:15" s="1" customFormat="1" ht="31.5" customHeight="1">
      <c r="B1399" s="39"/>
      <c r="C1399" s="135">
        <f>C1395+1</f>
        <v>320</v>
      </c>
      <c r="D1399" s="135" t="s">
        <v>65</v>
      </c>
      <c r="E1399" s="136" t="s">
        <v>2129</v>
      </c>
      <c r="F1399" s="137" t="s">
        <v>2127</v>
      </c>
      <c r="G1399" s="138" t="s">
        <v>94</v>
      </c>
      <c r="H1399" s="139">
        <f>H1402</f>
        <v>2.4785124000000001</v>
      </c>
      <c r="I1399" s="90"/>
      <c r="J1399" s="140">
        <f>ROUND(I1399*H1399,2)</f>
        <v>0</v>
      </c>
      <c r="K1399" s="137"/>
    </row>
    <row r="1400" spans="2:15" s="11" customFormat="1">
      <c r="B1400" s="141"/>
      <c r="D1400" s="142" t="s">
        <v>95</v>
      </c>
      <c r="E1400" s="143" t="s">
        <v>2</v>
      </c>
      <c r="F1400" s="144" t="s">
        <v>2126</v>
      </c>
      <c r="H1400" s="145">
        <f>359.206*0.06*0.04</f>
        <v>0.86209440000000004</v>
      </c>
    </row>
    <row r="1401" spans="2:15" s="11" customFormat="1">
      <c r="B1401" s="141"/>
      <c r="D1401" s="142" t="s">
        <v>95</v>
      </c>
      <c r="E1401" s="143" t="s">
        <v>2</v>
      </c>
      <c r="F1401" s="144" t="s">
        <v>2125</v>
      </c>
      <c r="H1401" s="145">
        <f>89.801*0.018</f>
        <v>1.6164179999999999</v>
      </c>
    </row>
    <row r="1402" spans="2:15" s="12" customFormat="1">
      <c r="B1402" s="146"/>
      <c r="D1402" s="142" t="s">
        <v>95</v>
      </c>
      <c r="E1402" s="147" t="s">
        <v>2</v>
      </c>
      <c r="F1402" s="148" t="s">
        <v>96</v>
      </c>
      <c r="H1402" s="149">
        <f>SUM(H1400:H1401)</f>
        <v>2.4785124000000001</v>
      </c>
    </row>
    <row r="1403" spans="2:15" s="1" customFormat="1" ht="15.6" customHeight="1">
      <c r="B1403" s="39"/>
      <c r="C1403" s="135">
        <f>C1399+1</f>
        <v>321</v>
      </c>
      <c r="D1403" s="135" t="s">
        <v>65</v>
      </c>
      <c r="E1403" s="136" t="s">
        <v>2050</v>
      </c>
      <c r="F1403" s="137" t="s">
        <v>2049</v>
      </c>
      <c r="G1403" s="138" t="s">
        <v>115</v>
      </c>
      <c r="H1403" s="139">
        <f>H1405</f>
        <v>7</v>
      </c>
      <c r="I1403" s="90"/>
      <c r="J1403" s="140">
        <f>ROUND(I1403*H1403,2)</f>
        <v>0</v>
      </c>
      <c r="K1403" s="137"/>
    </row>
    <row r="1404" spans="2:15" s="11" customFormat="1">
      <c r="B1404" s="141"/>
      <c r="D1404" s="142" t="s">
        <v>95</v>
      </c>
      <c r="E1404" s="143" t="s">
        <v>2</v>
      </c>
      <c r="F1404" s="144" t="s">
        <v>1548</v>
      </c>
      <c r="H1404" s="145">
        <f>(1*7)</f>
        <v>7</v>
      </c>
      <c r="O1404" s="1"/>
    </row>
    <row r="1405" spans="2:15" s="1" customFormat="1">
      <c r="B1405" s="39"/>
      <c r="C1405" s="146"/>
      <c r="D1405" s="142" t="s">
        <v>95</v>
      </c>
      <c r="E1405" s="342" t="s">
        <v>2</v>
      </c>
      <c r="F1405" s="343" t="s">
        <v>96</v>
      </c>
      <c r="G1405" s="12"/>
      <c r="H1405" s="149">
        <f>SUM(H1404:H1404)</f>
        <v>7</v>
      </c>
      <c r="I1405" s="149"/>
      <c r="J1405" s="12"/>
      <c r="K1405" s="12"/>
    </row>
    <row r="1406" spans="2:15" s="1" customFormat="1" ht="27">
      <c r="B1406" s="39"/>
      <c r="C1406" s="150">
        <f>C1403+1</f>
        <v>322</v>
      </c>
      <c r="D1406" s="150" t="s">
        <v>123</v>
      </c>
      <c r="E1406" s="151" t="s">
        <v>2051</v>
      </c>
      <c r="F1406" s="152" t="s">
        <v>2074</v>
      </c>
      <c r="G1406" s="153" t="s">
        <v>115</v>
      </c>
      <c r="H1406" s="154">
        <f>H1408</f>
        <v>7</v>
      </c>
      <c r="I1406" s="91"/>
      <c r="J1406" s="155">
        <f>ROUND(I1406*H1406,2)</f>
        <v>0</v>
      </c>
      <c r="K1406" s="152"/>
    </row>
    <row r="1407" spans="2:15" s="11" customFormat="1">
      <c r="B1407" s="141"/>
      <c r="D1407" s="142" t="s">
        <v>95</v>
      </c>
      <c r="E1407" s="143" t="s">
        <v>2</v>
      </c>
      <c r="F1407" s="144" t="s">
        <v>1548</v>
      </c>
      <c r="H1407" s="145">
        <f>(1*7)</f>
        <v>7</v>
      </c>
      <c r="O1407" s="1"/>
    </row>
    <row r="1408" spans="2:15" s="1" customFormat="1">
      <c r="B1408" s="39"/>
      <c r="C1408" s="146"/>
      <c r="D1408" s="142" t="s">
        <v>95</v>
      </c>
      <c r="E1408" s="342" t="s">
        <v>2</v>
      </c>
      <c r="F1408" s="343" t="s">
        <v>96</v>
      </c>
      <c r="G1408" s="12"/>
      <c r="H1408" s="149">
        <f>SUM(H1407:H1407)</f>
        <v>7</v>
      </c>
      <c r="I1408" s="149"/>
      <c r="J1408" s="12"/>
      <c r="K1408" s="12"/>
    </row>
    <row r="1409" spans="2:15" s="1" customFormat="1">
      <c r="B1409" s="39"/>
      <c r="C1409" s="135">
        <f>C1406+1</f>
        <v>323</v>
      </c>
      <c r="D1409" s="135" t="s">
        <v>65</v>
      </c>
      <c r="E1409" s="305" t="s">
        <v>2183</v>
      </c>
      <c r="F1409" s="306" t="s">
        <v>2184</v>
      </c>
      <c r="G1409" s="138" t="s">
        <v>155</v>
      </c>
      <c r="H1409" s="139">
        <f>H1415</f>
        <v>8.61</v>
      </c>
      <c r="I1409" s="90"/>
      <c r="J1409" s="140">
        <f>ROUND(I1409*H1409,2)</f>
        <v>0</v>
      </c>
      <c r="K1409" s="137"/>
    </row>
    <row r="1410" spans="2:15" s="1" customFormat="1">
      <c r="B1410" s="39"/>
      <c r="C1410" s="11"/>
      <c r="D1410" s="142" t="s">
        <v>95</v>
      </c>
      <c r="E1410" s="143" t="s">
        <v>2</v>
      </c>
      <c r="F1410" s="144" t="s">
        <v>2185</v>
      </c>
      <c r="G1410" s="11"/>
      <c r="H1410" s="145">
        <v>0.6</v>
      </c>
      <c r="I1410" s="11"/>
      <c r="J1410" s="11"/>
      <c r="K1410" s="11"/>
    </row>
    <row r="1411" spans="2:15" s="1" customFormat="1">
      <c r="B1411" s="39"/>
      <c r="C1411" s="11"/>
      <c r="D1411" s="142" t="s">
        <v>95</v>
      </c>
      <c r="E1411" s="143" t="s">
        <v>2</v>
      </c>
      <c r="F1411" s="144" t="s">
        <v>2186</v>
      </c>
      <c r="G1411" s="11"/>
      <c r="H1411" s="145">
        <v>1.34</v>
      </c>
      <c r="I1411" s="11"/>
      <c r="J1411" s="11"/>
      <c r="K1411" s="11"/>
    </row>
    <row r="1412" spans="2:15" s="1" customFormat="1">
      <c r="B1412" s="39"/>
      <c r="C1412" s="11"/>
      <c r="D1412" s="142" t="s">
        <v>95</v>
      </c>
      <c r="E1412" s="143" t="s">
        <v>2</v>
      </c>
      <c r="F1412" s="144" t="s">
        <v>2187</v>
      </c>
      <c r="G1412" s="11"/>
      <c r="H1412" s="145">
        <f>(0.89+1.16+1.25)</f>
        <v>3.3</v>
      </c>
      <c r="I1412" s="11"/>
      <c r="J1412" s="11"/>
      <c r="K1412" s="11"/>
    </row>
    <row r="1413" spans="2:15" s="1" customFormat="1">
      <c r="B1413" s="39"/>
      <c r="C1413" s="11"/>
      <c r="D1413" s="142" t="s">
        <v>95</v>
      </c>
      <c r="E1413" s="143" t="s">
        <v>2</v>
      </c>
      <c r="F1413" s="144" t="s">
        <v>2188</v>
      </c>
      <c r="G1413" s="11"/>
      <c r="H1413" s="145">
        <f>0.9</f>
        <v>0.9</v>
      </c>
      <c r="I1413" s="11"/>
      <c r="J1413" s="11"/>
      <c r="K1413" s="11"/>
    </row>
    <row r="1414" spans="2:15" s="1" customFormat="1">
      <c r="B1414" s="39"/>
      <c r="C1414" s="11"/>
      <c r="D1414" s="142" t="s">
        <v>95</v>
      </c>
      <c r="E1414" s="143" t="s">
        <v>2</v>
      </c>
      <c r="F1414" s="144" t="s">
        <v>2189</v>
      </c>
      <c r="G1414" s="11"/>
      <c r="H1414" s="145">
        <f>(1.25+1.22)</f>
        <v>2.4699999999999998</v>
      </c>
      <c r="I1414" s="11"/>
      <c r="J1414" s="11"/>
      <c r="K1414" s="11"/>
    </row>
    <row r="1415" spans="2:15" s="1" customFormat="1">
      <c r="B1415" s="39"/>
      <c r="C1415" s="146"/>
      <c r="D1415" s="142" t="s">
        <v>95</v>
      </c>
      <c r="E1415" s="147" t="s">
        <v>2</v>
      </c>
      <c r="F1415" s="148" t="s">
        <v>96</v>
      </c>
      <c r="G1415" s="12"/>
      <c r="H1415" s="149">
        <f>SUM(H1410:H1414)</f>
        <v>8.61</v>
      </c>
      <c r="I1415" s="149"/>
      <c r="J1415" s="12"/>
      <c r="K1415" s="12"/>
    </row>
    <row r="1416" spans="2:15" s="349" customFormat="1">
      <c r="B1416" s="348"/>
      <c r="C1416" s="150">
        <f>C1409+1</f>
        <v>324</v>
      </c>
      <c r="D1416" s="150" t="s">
        <v>123</v>
      </c>
      <c r="E1416" s="358" t="s">
        <v>2190</v>
      </c>
      <c r="F1416" s="359" t="s">
        <v>2191</v>
      </c>
      <c r="G1416" s="153" t="s">
        <v>155</v>
      </c>
      <c r="H1416" s="154">
        <f>H1422</f>
        <v>8.61</v>
      </c>
      <c r="I1416" s="91"/>
      <c r="J1416" s="155">
        <f>ROUND(I1416*H1416,2)</f>
        <v>0</v>
      </c>
      <c r="K1416" s="152"/>
    </row>
    <row r="1417" spans="2:15" s="1" customFormat="1">
      <c r="B1417" s="39"/>
      <c r="C1417" s="11"/>
      <c r="D1417" s="142" t="s">
        <v>95</v>
      </c>
      <c r="E1417" s="143" t="s">
        <v>2</v>
      </c>
      <c r="F1417" s="144" t="s">
        <v>2185</v>
      </c>
      <c r="G1417" s="11"/>
      <c r="H1417" s="145">
        <v>0.6</v>
      </c>
      <c r="I1417" s="11"/>
      <c r="J1417" s="11"/>
      <c r="K1417" s="11"/>
    </row>
    <row r="1418" spans="2:15" s="1" customFormat="1">
      <c r="B1418" s="39"/>
      <c r="C1418" s="11"/>
      <c r="D1418" s="142" t="s">
        <v>95</v>
      </c>
      <c r="E1418" s="143" t="s">
        <v>2</v>
      </c>
      <c r="F1418" s="144" t="s">
        <v>2186</v>
      </c>
      <c r="G1418" s="11"/>
      <c r="H1418" s="145">
        <v>1.34</v>
      </c>
      <c r="I1418" s="11"/>
      <c r="J1418" s="11"/>
      <c r="K1418" s="11"/>
    </row>
    <row r="1419" spans="2:15" s="1" customFormat="1">
      <c r="B1419" s="39"/>
      <c r="C1419" s="11"/>
      <c r="D1419" s="142" t="s">
        <v>95</v>
      </c>
      <c r="E1419" s="143" t="s">
        <v>2</v>
      </c>
      <c r="F1419" s="144" t="s">
        <v>2187</v>
      </c>
      <c r="G1419" s="11"/>
      <c r="H1419" s="145">
        <f>(0.89+1.16+1.25)</f>
        <v>3.3</v>
      </c>
      <c r="I1419" s="11"/>
      <c r="J1419" s="11"/>
      <c r="K1419" s="11"/>
    </row>
    <row r="1420" spans="2:15" s="1" customFormat="1">
      <c r="B1420" s="39"/>
      <c r="C1420" s="11"/>
      <c r="D1420" s="142" t="s">
        <v>95</v>
      </c>
      <c r="E1420" s="143" t="s">
        <v>2</v>
      </c>
      <c r="F1420" s="144" t="s">
        <v>2188</v>
      </c>
      <c r="G1420" s="11"/>
      <c r="H1420" s="145">
        <f>0.9</f>
        <v>0.9</v>
      </c>
      <c r="I1420" s="11"/>
      <c r="J1420" s="11"/>
      <c r="K1420" s="11"/>
    </row>
    <row r="1421" spans="2:15" s="1" customFormat="1">
      <c r="B1421" s="39"/>
      <c r="C1421" s="11"/>
      <c r="D1421" s="142" t="s">
        <v>95</v>
      </c>
      <c r="E1421" s="143" t="s">
        <v>2</v>
      </c>
      <c r="F1421" s="144" t="s">
        <v>2189</v>
      </c>
      <c r="G1421" s="11"/>
      <c r="H1421" s="145">
        <f>(1.25+1.22)</f>
        <v>2.4699999999999998</v>
      </c>
      <c r="I1421" s="11"/>
      <c r="J1421" s="11"/>
      <c r="K1421" s="11"/>
    </row>
    <row r="1422" spans="2:15" s="1" customFormat="1">
      <c r="B1422" s="39"/>
      <c r="C1422" s="146"/>
      <c r="D1422" s="142" t="s">
        <v>95</v>
      </c>
      <c r="E1422" s="147" t="s">
        <v>2</v>
      </c>
      <c r="F1422" s="148" t="s">
        <v>96</v>
      </c>
      <c r="G1422" s="12"/>
      <c r="H1422" s="149">
        <f>SUM(H1417:H1421)</f>
        <v>8.61</v>
      </c>
      <c r="I1422" s="149"/>
      <c r="J1422" s="12"/>
      <c r="K1422" s="12"/>
    </row>
    <row r="1423" spans="2:15" s="1" customFormat="1">
      <c r="B1423" s="39"/>
      <c r="C1423" s="135">
        <f>C1416+1</f>
        <v>325</v>
      </c>
      <c r="D1423" s="135" t="s">
        <v>65</v>
      </c>
      <c r="E1423" s="305" t="s">
        <v>2194</v>
      </c>
      <c r="F1423" s="306" t="s">
        <v>2192</v>
      </c>
      <c r="G1423" s="138" t="s">
        <v>105</v>
      </c>
      <c r="H1423" s="139">
        <f>H1425</f>
        <v>58.645000000000003</v>
      </c>
      <c r="I1423" s="90"/>
      <c r="J1423" s="140">
        <f>ROUND(I1423*H1423,2)</f>
        <v>0</v>
      </c>
      <c r="K1423" s="137"/>
    </row>
    <row r="1424" spans="2:15" s="11" customFormat="1">
      <c r="B1424" s="141"/>
      <c r="D1424" s="142" t="s">
        <v>95</v>
      </c>
      <c r="E1424" s="143" t="s">
        <v>2</v>
      </c>
      <c r="F1424" s="144" t="s">
        <v>2193</v>
      </c>
      <c r="H1424" s="145">
        <f>58.645</f>
        <v>58.645000000000003</v>
      </c>
      <c r="O1424" s="1"/>
    </row>
    <row r="1425" spans="2:15" s="1" customFormat="1">
      <c r="B1425" s="39"/>
      <c r="C1425" s="146"/>
      <c r="D1425" s="142" t="s">
        <v>95</v>
      </c>
      <c r="E1425" s="147" t="s">
        <v>2</v>
      </c>
      <c r="F1425" s="148" t="s">
        <v>96</v>
      </c>
      <c r="G1425" s="12"/>
      <c r="H1425" s="149">
        <f>SUM(H1424:H1424)</f>
        <v>58.645000000000003</v>
      </c>
      <c r="I1425" s="149"/>
      <c r="J1425" s="12"/>
      <c r="K1425" s="12"/>
    </row>
    <row r="1426" spans="2:15" s="349" customFormat="1">
      <c r="B1426" s="348"/>
      <c r="C1426" s="150">
        <f>C1423+1</f>
        <v>326</v>
      </c>
      <c r="D1426" s="150" t="s">
        <v>123</v>
      </c>
      <c r="E1426" s="358" t="s">
        <v>2195</v>
      </c>
      <c r="F1426" s="359" t="s">
        <v>2196</v>
      </c>
      <c r="G1426" s="153" t="s">
        <v>105</v>
      </c>
      <c r="H1426" s="154">
        <f>H1428</f>
        <v>64.509500000000003</v>
      </c>
      <c r="I1426" s="91"/>
      <c r="J1426" s="155">
        <f>ROUND(I1426*H1426,2)</f>
        <v>0</v>
      </c>
      <c r="K1426" s="152"/>
    </row>
    <row r="1427" spans="2:15" s="11" customFormat="1">
      <c r="B1427" s="141"/>
      <c r="D1427" s="142" t="s">
        <v>95</v>
      </c>
      <c r="E1427" s="143" t="s">
        <v>2</v>
      </c>
      <c r="F1427" s="144" t="s">
        <v>2197</v>
      </c>
      <c r="H1427" s="145">
        <f>58.645*1.1</f>
        <v>64.509500000000003</v>
      </c>
      <c r="O1427" s="1"/>
    </row>
    <row r="1428" spans="2:15" s="1" customFormat="1">
      <c r="B1428" s="39"/>
      <c r="C1428" s="146"/>
      <c r="D1428" s="142" t="s">
        <v>95</v>
      </c>
      <c r="E1428" s="147" t="s">
        <v>2</v>
      </c>
      <c r="F1428" s="148" t="s">
        <v>96</v>
      </c>
      <c r="G1428" s="12"/>
      <c r="H1428" s="149">
        <f>SUM(H1427:H1427)</f>
        <v>64.509500000000003</v>
      </c>
      <c r="I1428" s="149"/>
      <c r="J1428" s="12"/>
      <c r="K1428" s="12"/>
    </row>
    <row r="1429" spans="2:15" s="1" customFormat="1">
      <c r="B1429" s="39"/>
      <c r="C1429" s="135">
        <f>C1426+1</f>
        <v>327</v>
      </c>
      <c r="D1429" s="135" t="s">
        <v>65</v>
      </c>
      <c r="E1429" s="305" t="s">
        <v>2198</v>
      </c>
      <c r="F1429" s="306" t="s">
        <v>2199</v>
      </c>
      <c r="G1429" s="138" t="s">
        <v>105</v>
      </c>
      <c r="H1429" s="139">
        <f>H1431</f>
        <v>58.645000000000003</v>
      </c>
      <c r="I1429" s="90"/>
      <c r="J1429" s="140">
        <f>ROUND(I1429*H1429,2)</f>
        <v>0</v>
      </c>
      <c r="K1429" s="137"/>
    </row>
    <row r="1430" spans="2:15" s="11" customFormat="1">
      <c r="B1430" s="141"/>
      <c r="D1430" s="142" t="s">
        <v>95</v>
      </c>
      <c r="E1430" s="143" t="s">
        <v>2</v>
      </c>
      <c r="F1430" s="144" t="s">
        <v>2193</v>
      </c>
      <c r="H1430" s="145">
        <f>58.645</f>
        <v>58.645000000000003</v>
      </c>
      <c r="O1430" s="1"/>
    </row>
    <row r="1431" spans="2:15" s="1" customFormat="1">
      <c r="B1431" s="39"/>
      <c r="C1431" s="146"/>
      <c r="D1431" s="142" t="s">
        <v>95</v>
      </c>
      <c r="E1431" s="147" t="s">
        <v>2</v>
      </c>
      <c r="F1431" s="148" t="s">
        <v>96</v>
      </c>
      <c r="G1431" s="12"/>
      <c r="H1431" s="149">
        <f>SUM(H1430:H1430)</f>
        <v>58.645000000000003</v>
      </c>
      <c r="I1431" s="149"/>
      <c r="J1431" s="12"/>
      <c r="K1431" s="12"/>
    </row>
    <row r="1432" spans="2:15" s="349" customFormat="1">
      <c r="B1432" s="348"/>
      <c r="C1432" s="150">
        <f>C1429+1</f>
        <v>328</v>
      </c>
      <c r="D1432" s="150" t="s">
        <v>123</v>
      </c>
      <c r="E1432" s="358" t="s">
        <v>2200</v>
      </c>
      <c r="F1432" s="359" t="s">
        <v>2201</v>
      </c>
      <c r="G1432" s="153" t="s">
        <v>105</v>
      </c>
      <c r="H1432" s="154">
        <f>H1434</f>
        <v>64.509500000000003</v>
      </c>
      <c r="I1432" s="91"/>
      <c r="J1432" s="155">
        <f>ROUND(I1432*H1432,2)</f>
        <v>0</v>
      </c>
      <c r="K1432" s="152"/>
    </row>
    <row r="1433" spans="2:15" s="11" customFormat="1">
      <c r="B1433" s="141"/>
      <c r="D1433" s="142" t="s">
        <v>95</v>
      </c>
      <c r="E1433" s="143" t="s">
        <v>2</v>
      </c>
      <c r="F1433" s="144" t="s">
        <v>2197</v>
      </c>
      <c r="H1433" s="145">
        <f>58.645*1.1</f>
        <v>64.509500000000003</v>
      </c>
      <c r="O1433" s="1"/>
    </row>
    <row r="1434" spans="2:15" s="1" customFormat="1">
      <c r="B1434" s="39"/>
      <c r="C1434" s="146"/>
      <c r="D1434" s="142" t="s">
        <v>95</v>
      </c>
      <c r="E1434" s="147" t="s">
        <v>2</v>
      </c>
      <c r="F1434" s="148" t="s">
        <v>96</v>
      </c>
      <c r="G1434" s="12"/>
      <c r="H1434" s="149">
        <f>SUM(H1433:H1433)</f>
        <v>64.509500000000003</v>
      </c>
      <c r="I1434" s="149"/>
      <c r="J1434" s="12"/>
      <c r="K1434" s="12"/>
    </row>
    <row r="1435" spans="2:15" s="1" customFormat="1">
      <c r="B1435" s="39"/>
      <c r="C1435" s="135">
        <f>C1432+1</f>
        <v>329</v>
      </c>
      <c r="D1435" s="135" t="s">
        <v>65</v>
      </c>
      <c r="E1435" s="305" t="s">
        <v>2202</v>
      </c>
      <c r="F1435" s="306" t="s">
        <v>2203</v>
      </c>
      <c r="G1435" s="138" t="s">
        <v>105</v>
      </c>
      <c r="H1435" s="139">
        <f>H1437</f>
        <v>58.645000000000003</v>
      </c>
      <c r="I1435" s="90"/>
      <c r="J1435" s="140">
        <f>ROUND(I1435*H1435,2)</f>
        <v>0</v>
      </c>
      <c r="K1435" s="137"/>
    </row>
    <row r="1436" spans="2:15" s="11" customFormat="1">
      <c r="B1436" s="141"/>
      <c r="D1436" s="142" t="s">
        <v>95</v>
      </c>
      <c r="E1436" s="143" t="s">
        <v>2</v>
      </c>
      <c r="F1436" s="144" t="s">
        <v>2193</v>
      </c>
      <c r="H1436" s="145">
        <f>58.645</f>
        <v>58.645000000000003</v>
      </c>
      <c r="O1436" s="1"/>
    </row>
    <row r="1437" spans="2:15" s="1" customFormat="1">
      <c r="B1437" s="39"/>
      <c r="C1437" s="146"/>
      <c r="D1437" s="142" t="s">
        <v>95</v>
      </c>
      <c r="E1437" s="147" t="s">
        <v>2</v>
      </c>
      <c r="F1437" s="148" t="s">
        <v>96</v>
      </c>
      <c r="G1437" s="12"/>
      <c r="H1437" s="149">
        <f>SUM(H1436:H1436)</f>
        <v>58.645000000000003</v>
      </c>
      <c r="I1437" s="149"/>
      <c r="J1437" s="12"/>
      <c r="K1437" s="12"/>
    </row>
    <row r="1438" spans="2:15" s="349" customFormat="1">
      <c r="B1438" s="348"/>
      <c r="C1438" s="150">
        <f>C1435+1</f>
        <v>330</v>
      </c>
      <c r="D1438" s="150" t="s">
        <v>123</v>
      </c>
      <c r="E1438" s="358" t="s">
        <v>2204</v>
      </c>
      <c r="F1438" s="359" t="s">
        <v>2205</v>
      </c>
      <c r="G1438" s="153" t="s">
        <v>105</v>
      </c>
      <c r="H1438" s="154">
        <f>H1440</f>
        <v>64.509500000000003</v>
      </c>
      <c r="I1438" s="91"/>
      <c r="J1438" s="155">
        <f>ROUND(I1438*H1438,2)</f>
        <v>0</v>
      </c>
      <c r="K1438" s="152"/>
    </row>
    <row r="1439" spans="2:15" s="11" customFormat="1">
      <c r="B1439" s="141"/>
      <c r="D1439" s="142" t="s">
        <v>95</v>
      </c>
      <c r="E1439" s="143" t="s">
        <v>2</v>
      </c>
      <c r="F1439" s="144" t="s">
        <v>2197</v>
      </c>
      <c r="H1439" s="145">
        <f>58.645*1.1</f>
        <v>64.509500000000003</v>
      </c>
      <c r="O1439" s="1"/>
    </row>
    <row r="1440" spans="2:15" s="1" customFormat="1">
      <c r="B1440" s="39"/>
      <c r="C1440" s="146"/>
      <c r="D1440" s="142" t="s">
        <v>95</v>
      </c>
      <c r="E1440" s="147" t="s">
        <v>2</v>
      </c>
      <c r="F1440" s="148" t="s">
        <v>96</v>
      </c>
      <c r="G1440" s="12"/>
      <c r="H1440" s="149">
        <f>SUM(H1439:H1439)</f>
        <v>64.509500000000003</v>
      </c>
      <c r="I1440" s="149"/>
      <c r="J1440" s="12"/>
      <c r="K1440" s="12"/>
    </row>
    <row r="1441" spans="2:11" s="1" customFormat="1" ht="15.6" customHeight="1">
      <c r="B1441" s="39"/>
      <c r="C1441" s="135">
        <f>C1438+1</f>
        <v>331</v>
      </c>
      <c r="D1441" s="135" t="s">
        <v>65</v>
      </c>
      <c r="E1441" s="136" t="s">
        <v>259</v>
      </c>
      <c r="F1441" s="137" t="s">
        <v>2130</v>
      </c>
      <c r="G1441" s="138" t="s">
        <v>261</v>
      </c>
      <c r="H1441" s="139">
        <f>SUM(J1314:J1440)</f>
        <v>0</v>
      </c>
      <c r="I1441" s="90"/>
      <c r="J1441" s="140">
        <f>ROUND(I1441%*H1441,2)</f>
        <v>0</v>
      </c>
      <c r="K1441" s="137"/>
    </row>
    <row r="1442" spans="2:11" s="10" customFormat="1" ht="29.85" customHeight="1">
      <c r="B1442" s="128"/>
      <c r="D1442" s="129" t="s">
        <v>39</v>
      </c>
      <c r="E1442" s="133" t="s">
        <v>262</v>
      </c>
      <c r="F1442" s="133" t="s">
        <v>263</v>
      </c>
      <c r="J1442" s="134">
        <f>SUM(J1443:J1465)</f>
        <v>0</v>
      </c>
    </row>
    <row r="1443" spans="2:11" s="1" customFormat="1">
      <c r="B1443" s="39"/>
      <c r="C1443" s="135">
        <f>C1441+1</f>
        <v>332</v>
      </c>
      <c r="D1443" s="135" t="s">
        <v>65</v>
      </c>
      <c r="E1443" s="136" t="s">
        <v>2070</v>
      </c>
      <c r="F1443" s="137" t="s">
        <v>2071</v>
      </c>
      <c r="G1443" s="138" t="s">
        <v>115</v>
      </c>
      <c r="H1443" s="139">
        <f>H1445</f>
        <v>1</v>
      </c>
      <c r="I1443" s="90"/>
      <c r="J1443" s="140">
        <f>ROUND(I1443*H1443,2)</f>
        <v>0</v>
      </c>
      <c r="K1443" s="137"/>
    </row>
    <row r="1444" spans="2:11" s="1" customFormat="1">
      <c r="B1444" s="39"/>
      <c r="C1444" s="11"/>
      <c r="D1444" s="142" t="s">
        <v>95</v>
      </c>
      <c r="E1444" s="143" t="s">
        <v>2</v>
      </c>
      <c r="F1444" s="144" t="s">
        <v>2072</v>
      </c>
      <c r="G1444" s="11"/>
      <c r="H1444" s="145">
        <v>1</v>
      </c>
      <c r="I1444" s="11"/>
      <c r="J1444" s="11"/>
      <c r="K1444" s="11"/>
    </row>
    <row r="1445" spans="2:11" s="1" customFormat="1">
      <c r="B1445" s="39"/>
      <c r="C1445" s="146"/>
      <c r="D1445" s="142" t="s">
        <v>95</v>
      </c>
      <c r="E1445" s="147" t="s">
        <v>2</v>
      </c>
      <c r="F1445" s="148" t="s">
        <v>96</v>
      </c>
      <c r="G1445" s="12"/>
      <c r="H1445" s="149">
        <f>SUM(H1444:H1444)</f>
        <v>1</v>
      </c>
      <c r="I1445" s="149"/>
      <c r="J1445" s="12"/>
      <c r="K1445" s="12"/>
    </row>
    <row r="1446" spans="2:11" s="349" customFormat="1">
      <c r="B1446" s="348"/>
      <c r="C1446" s="150">
        <f>C1443+1</f>
        <v>333</v>
      </c>
      <c r="D1446" s="150" t="s">
        <v>123</v>
      </c>
      <c r="E1446" s="151" t="s">
        <v>2073</v>
      </c>
      <c r="F1446" s="152" t="s">
        <v>2115</v>
      </c>
      <c r="G1446" s="153" t="s">
        <v>115</v>
      </c>
      <c r="H1446" s="154">
        <f>H1448</f>
        <v>1</v>
      </c>
      <c r="I1446" s="91"/>
      <c r="J1446" s="155">
        <f>ROUND(I1446*H1446,2)</f>
        <v>0</v>
      </c>
      <c r="K1446" s="152"/>
    </row>
    <row r="1447" spans="2:11" s="1" customFormat="1">
      <c r="B1447" s="39"/>
      <c r="C1447" s="11"/>
      <c r="D1447" s="142" t="s">
        <v>95</v>
      </c>
      <c r="E1447" s="143" t="s">
        <v>2</v>
      </c>
      <c r="F1447" s="144" t="s">
        <v>2072</v>
      </c>
      <c r="G1447" s="11"/>
      <c r="H1447" s="145">
        <v>1</v>
      </c>
      <c r="I1447" s="11"/>
      <c r="J1447" s="11"/>
      <c r="K1447" s="11"/>
    </row>
    <row r="1448" spans="2:11" s="1" customFormat="1">
      <c r="B1448" s="39"/>
      <c r="C1448" s="146"/>
      <c r="D1448" s="142" t="s">
        <v>95</v>
      </c>
      <c r="E1448" s="147" t="s">
        <v>2</v>
      </c>
      <c r="F1448" s="148" t="s">
        <v>96</v>
      </c>
      <c r="G1448" s="12"/>
      <c r="H1448" s="149">
        <f>SUM(H1447:H1447)</f>
        <v>1</v>
      </c>
      <c r="I1448" s="149"/>
      <c r="J1448" s="12"/>
      <c r="K1448" s="12"/>
    </row>
    <row r="1449" spans="2:11" s="1" customFormat="1">
      <c r="B1449" s="39"/>
      <c r="C1449" s="135">
        <f>C1446+1</f>
        <v>334</v>
      </c>
      <c r="D1449" s="135" t="s">
        <v>65</v>
      </c>
      <c r="E1449" s="136" t="s">
        <v>2076</v>
      </c>
      <c r="F1449" s="137" t="s">
        <v>2077</v>
      </c>
      <c r="G1449" s="138" t="s">
        <v>115</v>
      </c>
      <c r="H1449" s="139">
        <f>H1453</f>
        <v>3</v>
      </c>
      <c r="I1449" s="90"/>
      <c r="J1449" s="140">
        <f>ROUND(I1449*H1449,2)</f>
        <v>0</v>
      </c>
      <c r="K1449" s="137"/>
    </row>
    <row r="1450" spans="2:11" s="1" customFormat="1">
      <c r="B1450" s="39"/>
      <c r="C1450" s="11"/>
      <c r="D1450" s="142" t="s">
        <v>95</v>
      </c>
      <c r="E1450" s="143" t="s">
        <v>2</v>
      </c>
      <c r="F1450" s="144" t="s">
        <v>2055</v>
      </c>
      <c r="G1450" s="11"/>
      <c r="H1450" s="145">
        <f>1</f>
        <v>1</v>
      </c>
      <c r="I1450" s="11"/>
      <c r="J1450" s="11"/>
      <c r="K1450" s="11"/>
    </row>
    <row r="1451" spans="2:11" s="1" customFormat="1">
      <c r="B1451" s="39"/>
      <c r="C1451" s="11"/>
      <c r="D1451" s="142" t="s">
        <v>95</v>
      </c>
      <c r="E1451" s="143" t="s">
        <v>2</v>
      </c>
      <c r="F1451" s="144" t="s">
        <v>2056</v>
      </c>
      <c r="G1451" s="11"/>
      <c r="H1451" s="145">
        <v>1</v>
      </c>
      <c r="I1451" s="11"/>
      <c r="J1451" s="11"/>
      <c r="K1451" s="11"/>
    </row>
    <row r="1452" spans="2:11" s="1" customFormat="1">
      <c r="B1452" s="39"/>
      <c r="C1452" s="11"/>
      <c r="D1452" s="142" t="s">
        <v>95</v>
      </c>
      <c r="E1452" s="143" t="s">
        <v>2</v>
      </c>
      <c r="F1452" s="144" t="s">
        <v>2066</v>
      </c>
      <c r="G1452" s="11"/>
      <c r="H1452" s="145">
        <v>1</v>
      </c>
      <c r="I1452" s="11"/>
      <c r="J1452" s="11"/>
      <c r="K1452" s="11"/>
    </row>
    <row r="1453" spans="2:11" s="1" customFormat="1">
      <c r="B1453" s="39"/>
      <c r="C1453" s="146"/>
      <c r="D1453" s="142" t="s">
        <v>95</v>
      </c>
      <c r="E1453" s="147" t="s">
        <v>2</v>
      </c>
      <c r="F1453" s="148" t="s">
        <v>96</v>
      </c>
      <c r="G1453" s="12"/>
      <c r="H1453" s="149">
        <f>SUM(H1450:H1452)</f>
        <v>3</v>
      </c>
      <c r="I1453" s="149"/>
      <c r="J1453" s="12"/>
      <c r="K1453" s="12"/>
    </row>
    <row r="1454" spans="2:11" s="349" customFormat="1">
      <c r="B1454" s="348"/>
      <c r="C1454" s="150">
        <f>C1449+1</f>
        <v>335</v>
      </c>
      <c r="D1454" s="150" t="s">
        <v>123</v>
      </c>
      <c r="E1454" s="151" t="s">
        <v>2078</v>
      </c>
      <c r="F1454" s="152" t="s">
        <v>2114</v>
      </c>
      <c r="G1454" s="153" t="s">
        <v>115</v>
      </c>
      <c r="H1454" s="154">
        <f>H1458</f>
        <v>3</v>
      </c>
      <c r="I1454" s="91"/>
      <c r="J1454" s="155">
        <f>ROUND(I1454*H1454,2)</f>
        <v>0</v>
      </c>
      <c r="K1454" s="152"/>
    </row>
    <row r="1455" spans="2:11" s="1" customFormat="1">
      <c r="B1455" s="39"/>
      <c r="C1455" s="11"/>
      <c r="D1455" s="142" t="s">
        <v>95</v>
      </c>
      <c r="E1455" s="143" t="s">
        <v>2</v>
      </c>
      <c r="F1455" s="144" t="s">
        <v>2055</v>
      </c>
      <c r="G1455" s="11"/>
      <c r="H1455" s="145">
        <f>1</f>
        <v>1</v>
      </c>
      <c r="I1455" s="11"/>
      <c r="J1455" s="11"/>
      <c r="K1455" s="11"/>
    </row>
    <row r="1456" spans="2:11" s="1" customFormat="1">
      <c r="B1456" s="39"/>
      <c r="C1456" s="11"/>
      <c r="D1456" s="142" t="s">
        <v>95</v>
      </c>
      <c r="E1456" s="143" t="s">
        <v>2</v>
      </c>
      <c r="F1456" s="144" t="s">
        <v>2056</v>
      </c>
      <c r="G1456" s="11"/>
      <c r="H1456" s="145">
        <v>1</v>
      </c>
      <c r="I1456" s="11"/>
      <c r="J1456" s="11"/>
      <c r="K1456" s="11"/>
    </row>
    <row r="1457" spans="2:15" s="1" customFormat="1">
      <c r="B1457" s="39"/>
      <c r="C1457" s="11"/>
      <c r="D1457" s="142" t="s">
        <v>95</v>
      </c>
      <c r="E1457" s="143" t="s">
        <v>2</v>
      </c>
      <c r="F1457" s="144" t="s">
        <v>2066</v>
      </c>
      <c r="G1457" s="11"/>
      <c r="H1457" s="145">
        <v>1</v>
      </c>
      <c r="I1457" s="11"/>
      <c r="J1457" s="11"/>
      <c r="K1457" s="11"/>
    </row>
    <row r="1458" spans="2:15" s="1" customFormat="1">
      <c r="B1458" s="39"/>
      <c r="C1458" s="146"/>
      <c r="D1458" s="142" t="s">
        <v>95</v>
      </c>
      <c r="E1458" s="147" t="s">
        <v>2</v>
      </c>
      <c r="F1458" s="148" t="s">
        <v>96</v>
      </c>
      <c r="G1458" s="12"/>
      <c r="H1458" s="149">
        <f>SUM(H1455:H1457)</f>
        <v>3</v>
      </c>
      <c r="I1458" s="149"/>
      <c r="J1458" s="12"/>
      <c r="K1458" s="12"/>
    </row>
    <row r="1459" spans="2:15" s="1" customFormat="1">
      <c r="B1459" s="39"/>
      <c r="C1459" s="135">
        <f>C1454+1</f>
        <v>336</v>
      </c>
      <c r="D1459" s="135" t="s">
        <v>65</v>
      </c>
      <c r="E1459" s="136" t="s">
        <v>2208</v>
      </c>
      <c r="F1459" s="137" t="s">
        <v>2206</v>
      </c>
      <c r="G1459" s="138" t="s">
        <v>115</v>
      </c>
      <c r="H1459" s="139">
        <f>H1461</f>
        <v>1</v>
      </c>
      <c r="I1459" s="90"/>
      <c r="J1459" s="140">
        <f>ROUND(I1459*H1459,2)</f>
        <v>0</v>
      </c>
      <c r="K1459" s="137"/>
    </row>
    <row r="1460" spans="2:15" s="1" customFormat="1">
      <c r="B1460" s="39"/>
      <c r="C1460" s="11"/>
      <c r="D1460" s="142" t="s">
        <v>95</v>
      </c>
      <c r="E1460" s="143" t="s">
        <v>2</v>
      </c>
      <c r="F1460" s="144" t="s">
        <v>2207</v>
      </c>
      <c r="G1460" s="11"/>
      <c r="H1460" s="145">
        <f>1</f>
        <v>1</v>
      </c>
      <c r="I1460" s="11"/>
      <c r="J1460" s="11"/>
      <c r="K1460" s="11"/>
    </row>
    <row r="1461" spans="2:15" s="1" customFormat="1">
      <c r="B1461" s="39"/>
      <c r="C1461" s="146"/>
      <c r="D1461" s="142" t="s">
        <v>95</v>
      </c>
      <c r="E1461" s="147" t="s">
        <v>2</v>
      </c>
      <c r="F1461" s="148" t="s">
        <v>96</v>
      </c>
      <c r="G1461" s="12"/>
      <c r="H1461" s="149">
        <f>SUM(H1460:H1460)</f>
        <v>1</v>
      </c>
      <c r="I1461" s="149"/>
      <c r="J1461" s="12"/>
      <c r="K1461" s="12"/>
    </row>
    <row r="1462" spans="2:15" s="349" customFormat="1">
      <c r="B1462" s="348"/>
      <c r="C1462" s="150">
        <f>C1459+1</f>
        <v>337</v>
      </c>
      <c r="D1462" s="150" t="s">
        <v>123</v>
      </c>
      <c r="E1462" s="151" t="s">
        <v>2209</v>
      </c>
      <c r="F1462" s="152" t="s">
        <v>2210</v>
      </c>
      <c r="G1462" s="153" t="s">
        <v>115</v>
      </c>
      <c r="H1462" s="154">
        <f>H1464</f>
        <v>1</v>
      </c>
      <c r="I1462" s="91"/>
      <c r="J1462" s="155">
        <f>ROUND(I1462*H1462,2)</f>
        <v>0</v>
      </c>
      <c r="K1462" s="152"/>
    </row>
    <row r="1463" spans="2:15" s="1" customFormat="1">
      <c r="B1463" s="39"/>
      <c r="C1463" s="11"/>
      <c r="D1463" s="142" t="s">
        <v>95</v>
      </c>
      <c r="E1463" s="143" t="s">
        <v>2</v>
      </c>
      <c r="F1463" s="144" t="s">
        <v>2207</v>
      </c>
      <c r="G1463" s="11"/>
      <c r="H1463" s="145">
        <f>1</f>
        <v>1</v>
      </c>
      <c r="I1463" s="11"/>
      <c r="J1463" s="11"/>
      <c r="K1463" s="11"/>
    </row>
    <row r="1464" spans="2:15" s="1" customFormat="1">
      <c r="B1464" s="39"/>
      <c r="C1464" s="146"/>
      <c r="D1464" s="142" t="s">
        <v>95</v>
      </c>
      <c r="E1464" s="147" t="s">
        <v>2</v>
      </c>
      <c r="F1464" s="148" t="s">
        <v>96</v>
      </c>
      <c r="G1464" s="12"/>
      <c r="H1464" s="149">
        <f>SUM(H1463:H1463)</f>
        <v>1</v>
      </c>
      <c r="I1464" s="149"/>
      <c r="J1464" s="12"/>
      <c r="K1464" s="12"/>
    </row>
    <row r="1465" spans="2:15" s="1" customFormat="1" ht="22.5" customHeight="1">
      <c r="B1465" s="39"/>
      <c r="C1465" s="135">
        <f>C1462+1</f>
        <v>338</v>
      </c>
      <c r="D1465" s="135" t="s">
        <v>65</v>
      </c>
      <c r="E1465" s="136" t="s">
        <v>266</v>
      </c>
      <c r="F1465" s="137" t="s">
        <v>2132</v>
      </c>
      <c r="G1465" s="138" t="s">
        <v>261</v>
      </c>
      <c r="H1465" s="139">
        <f>SUM(J1443:J1464)</f>
        <v>0</v>
      </c>
      <c r="I1465" s="90"/>
      <c r="J1465" s="140">
        <f>ROUND(I1465%*H1465,2)</f>
        <v>0</v>
      </c>
      <c r="K1465" s="137"/>
    </row>
    <row r="1466" spans="2:15" s="10" customFormat="1" ht="29.85" customHeight="1">
      <c r="B1466" s="128"/>
      <c r="D1466" s="129" t="s">
        <v>39</v>
      </c>
      <c r="E1466" s="133" t="s">
        <v>268</v>
      </c>
      <c r="F1466" s="133" t="s">
        <v>269</v>
      </c>
      <c r="J1466" s="134">
        <f>SUM(J1467:J1535)</f>
        <v>0</v>
      </c>
    </row>
    <row r="1467" spans="2:15" s="1" customFormat="1" ht="27">
      <c r="B1467" s="39"/>
      <c r="C1467" s="135">
        <f>C1465+1</f>
        <v>339</v>
      </c>
      <c r="D1467" s="135" t="s">
        <v>65</v>
      </c>
      <c r="E1467" s="136" t="s">
        <v>270</v>
      </c>
      <c r="F1467" s="137" t="s">
        <v>1385</v>
      </c>
      <c r="G1467" s="138" t="s">
        <v>155</v>
      </c>
      <c r="H1467" s="139">
        <f>H1478</f>
        <v>101.03399999999999</v>
      </c>
      <c r="I1467" s="90"/>
      <c r="J1467" s="140">
        <f>ROUND(I1467*H1467,2)</f>
        <v>0</v>
      </c>
      <c r="K1467" s="137"/>
    </row>
    <row r="1468" spans="2:15" s="11" customFormat="1" ht="27">
      <c r="B1468" s="141"/>
      <c r="D1468" s="142" t="s">
        <v>95</v>
      </c>
      <c r="E1468" s="143" t="s">
        <v>2</v>
      </c>
      <c r="F1468" s="144" t="s">
        <v>2142</v>
      </c>
      <c r="H1468" s="145">
        <f>(0.1+0.2+1.525+0.59+0.2+1.11+0.51+0.2+3.09+1.9+0.885+0.2+0.1)*0.1+(1.525+0.59+0.2)</f>
        <v>3.3759999999999999</v>
      </c>
      <c r="O1468" s="1"/>
    </row>
    <row r="1469" spans="2:15" s="11" customFormat="1">
      <c r="B1469" s="141"/>
      <c r="D1469" s="142" t="s">
        <v>95</v>
      </c>
      <c r="E1469" s="143" t="s">
        <v>2</v>
      </c>
      <c r="F1469" s="144" t="s">
        <v>2143</v>
      </c>
      <c r="H1469" s="145">
        <f>(0.35+1.7+0.5+0.5+0.58+1.7+0.38+0.35)</f>
        <v>6.06</v>
      </c>
      <c r="I1469" s="145"/>
      <c r="O1469" s="1"/>
    </row>
    <row r="1470" spans="2:15" s="11" customFormat="1">
      <c r="B1470" s="141"/>
      <c r="D1470" s="142" t="s">
        <v>95</v>
      </c>
      <c r="E1470" s="143" t="s">
        <v>2</v>
      </c>
      <c r="F1470" s="144" t="s">
        <v>2380</v>
      </c>
      <c r="H1470" s="145">
        <f>(0.5+0.5)</f>
        <v>1</v>
      </c>
      <c r="I1470" s="145"/>
      <c r="O1470" s="1"/>
    </row>
    <row r="1471" spans="2:15" s="11" customFormat="1" ht="40.5">
      <c r="B1471" s="141"/>
      <c r="D1471" s="142" t="s">
        <v>95</v>
      </c>
      <c r="E1471" s="143"/>
      <c r="F1471" s="144" t="s">
        <v>2144</v>
      </c>
      <c r="H1471" s="145">
        <f>(0.42+0.4+0.94+0.4+2.24+0.2+1.25+2.3+0.37+0.5+0.7+0.5+0.86+0.5+1.14+0.5+0.58+0.54+0.12+0.09+0.89+0.09+0.12+0.785+1.16+0.195)</f>
        <v>17.79</v>
      </c>
      <c r="O1471" s="1"/>
    </row>
    <row r="1472" spans="2:15" s="11" customFormat="1">
      <c r="B1472" s="141"/>
      <c r="D1472" s="142" t="s">
        <v>95</v>
      </c>
      <c r="E1472" s="143" t="s">
        <v>2</v>
      </c>
      <c r="F1472" s="144" t="s">
        <v>2145</v>
      </c>
      <c r="H1472" s="145">
        <f>(0.893+0.2+1.25+1)</f>
        <v>3.343</v>
      </c>
      <c r="O1472" s="1"/>
    </row>
    <row r="1473" spans="2:15" s="11" customFormat="1">
      <c r="B1473" s="141"/>
      <c r="D1473" s="142" t="s">
        <v>95</v>
      </c>
      <c r="E1473" s="143" t="s">
        <v>2</v>
      </c>
      <c r="F1473" s="144" t="s">
        <v>2146</v>
      </c>
      <c r="H1473" s="145">
        <f>(1+0.147+0.1+0.9+0.1+0.147+1)</f>
        <v>3.3940000000000001</v>
      </c>
      <c r="O1473" s="1"/>
    </row>
    <row r="1474" spans="2:15" s="11" customFormat="1" ht="27">
      <c r="B1474" s="141"/>
      <c r="D1474" s="142" t="s">
        <v>95</v>
      </c>
      <c r="E1474" s="143" t="s">
        <v>2</v>
      </c>
      <c r="F1474" s="144" t="s">
        <v>2147</v>
      </c>
      <c r="H1474" s="145">
        <f>(2.33+0.25+1.175+0.25+0.535+0.2+1.25+0.2+2.295+0.34+1.33+0.34+0.415+0.265+0.445+1.22+0.445+0.165)</f>
        <v>13.45</v>
      </c>
      <c r="O1474" s="1"/>
    </row>
    <row r="1475" spans="2:15" s="11" customFormat="1" ht="27">
      <c r="B1475" s="141"/>
      <c r="D1475" s="142" t="s">
        <v>95</v>
      </c>
      <c r="E1475" s="143" t="s">
        <v>2</v>
      </c>
      <c r="F1475" s="144" t="s">
        <v>2148</v>
      </c>
      <c r="H1475" s="145">
        <f>(1.515+1.76+0.37+0.5+0.7+0.5+0.445)+(0.615+1.76+0.37)</f>
        <v>8.5350000000000001</v>
      </c>
      <c r="O1475" s="1"/>
    </row>
    <row r="1476" spans="2:15" s="11" customFormat="1" ht="27">
      <c r="B1476" s="141"/>
      <c r="D1476" s="142" t="s">
        <v>95</v>
      </c>
      <c r="E1476" s="143" t="s">
        <v>2</v>
      </c>
      <c r="F1476" s="144" t="s">
        <v>2149</v>
      </c>
      <c r="H1476" s="145">
        <f>(0.415+0.34+1.33+0.34+0.415+0.415+0.5+1.14+0.5+0.605+1.76)</f>
        <v>7.76</v>
      </c>
      <c r="O1476" s="1"/>
    </row>
    <row r="1477" spans="2:15" s="11" customFormat="1" ht="54">
      <c r="B1477" s="141"/>
      <c r="D1477" s="142" t="s">
        <v>95</v>
      </c>
      <c r="E1477" s="143" t="s">
        <v>2</v>
      </c>
      <c r="F1477" s="144" t="s">
        <v>2150</v>
      </c>
      <c r="H1477" s="145">
        <f>((1.372+0.341+1.183+0.341+0.24+0.344+1.183+0.344+1.902)+(2.44+0.148+0.1+0.148+1.885+0.03+0.775+0.03+0.185+1.22+2.365)+(0.626+0.291+1.147+0.291+4.106)+(0.882+0.341+1.156+0.341+1.224+0.341+1.156+0.341+1.224+0.341+1.156+0.341+1.224+0.341+1.156+0.341+0.772))+(0.611)</f>
        <v>36.325999999999993</v>
      </c>
      <c r="O1477" s="1"/>
    </row>
    <row r="1478" spans="2:15" s="12" customFormat="1">
      <c r="B1478" s="146"/>
      <c r="D1478" s="142" t="s">
        <v>95</v>
      </c>
      <c r="E1478" s="342" t="s">
        <v>2</v>
      </c>
      <c r="F1478" s="343" t="s">
        <v>96</v>
      </c>
      <c r="H1478" s="149">
        <f>SUM(H1468:H1477)</f>
        <v>101.03399999999999</v>
      </c>
      <c r="O1478" s="1"/>
    </row>
    <row r="1479" spans="2:15" s="1" customFormat="1" ht="31.15" customHeight="1">
      <c r="B1479" s="39"/>
      <c r="C1479" s="150">
        <f>C1467+1</f>
        <v>340</v>
      </c>
      <c r="D1479" s="150" t="s">
        <v>123</v>
      </c>
      <c r="E1479" s="151" t="s">
        <v>271</v>
      </c>
      <c r="F1479" s="152" t="s">
        <v>1380</v>
      </c>
      <c r="G1479" s="153" t="s">
        <v>105</v>
      </c>
      <c r="H1479" s="154">
        <v>27.654</v>
      </c>
      <c r="I1479" s="91"/>
      <c r="J1479" s="155">
        <f>ROUND(I1479*H1479,2)</f>
        <v>0</v>
      </c>
      <c r="K1479" s="152"/>
    </row>
    <row r="1480" spans="2:15" s="11" customFormat="1" ht="27">
      <c r="B1480" s="141"/>
      <c r="D1480" s="142" t="s">
        <v>95</v>
      </c>
      <c r="E1480" s="143" t="s">
        <v>2</v>
      </c>
      <c r="F1480" s="144" t="s">
        <v>2133</v>
      </c>
      <c r="H1480" s="145">
        <f>((0.1+0.2+1.525+0.59+0.2+1.11+0.51+0.2+3.09+1.9+0.885+0.2+0.1)*0.1+(1.525+0.59+0.2)*0.1)*1.1</f>
        <v>1.4217500000000001</v>
      </c>
      <c r="O1480" s="1"/>
    </row>
    <row r="1481" spans="2:15" s="11" customFormat="1" ht="27">
      <c r="B1481" s="141"/>
      <c r="D1481" s="142" t="s">
        <v>95</v>
      </c>
      <c r="E1481" s="143" t="s">
        <v>2</v>
      </c>
      <c r="F1481" s="144" t="s">
        <v>2134</v>
      </c>
      <c r="H1481" s="145">
        <f>((0.35+1.7+0.5+0.5+0.58+1.7+0.38+0.35)*0.15)*1.1</f>
        <v>0.99990000000000001</v>
      </c>
      <c r="I1481" s="145"/>
      <c r="O1481" s="1"/>
    </row>
    <row r="1482" spans="2:15" s="11" customFormat="1">
      <c r="B1482" s="141"/>
      <c r="D1482" s="142" t="s">
        <v>95</v>
      </c>
      <c r="E1482" s="143" t="s">
        <v>2</v>
      </c>
      <c r="F1482" s="144" t="s">
        <v>2381</v>
      </c>
      <c r="H1482" s="145">
        <f>(0.5+0.5)*1.1</f>
        <v>1.1000000000000001</v>
      </c>
      <c r="I1482" s="145"/>
      <c r="O1482" s="1"/>
    </row>
    <row r="1483" spans="2:15" s="11" customFormat="1" ht="40.5">
      <c r="B1483" s="141"/>
      <c r="D1483" s="142" t="s">
        <v>95</v>
      </c>
      <c r="E1483" s="143" t="s">
        <v>2</v>
      </c>
      <c r="F1483" s="144" t="s">
        <v>2135</v>
      </c>
      <c r="H1483" s="145">
        <f>((0.42+0.4+0.94+0.4+2.24+0.2+1.25+2.3+0.37+0.5+0.7+0.5+0.86+0.5+1.14+0.5+0.58+0.54+0.12+0.09+0.89+0.09+0.12+0.785+1.16+0.195)*0.15)*1.1</f>
        <v>2.9353500000000001</v>
      </c>
      <c r="O1483" s="1"/>
    </row>
    <row r="1484" spans="2:15" s="11" customFormat="1">
      <c r="B1484" s="141"/>
      <c r="D1484" s="142" t="s">
        <v>95</v>
      </c>
      <c r="E1484" s="143" t="s">
        <v>2</v>
      </c>
      <c r="F1484" s="144" t="s">
        <v>2136</v>
      </c>
      <c r="H1484" s="145">
        <f>((0.893+0.2+1.25+1)*0.15)*1.1</f>
        <v>0.55159499999999995</v>
      </c>
      <c r="O1484" s="1"/>
    </row>
    <row r="1485" spans="2:15" s="11" customFormat="1" ht="27">
      <c r="B1485" s="141"/>
      <c r="D1485" s="142" t="s">
        <v>95</v>
      </c>
      <c r="E1485" s="143" t="s">
        <v>2</v>
      </c>
      <c r="F1485" s="144" t="s">
        <v>2137</v>
      </c>
      <c r="H1485" s="145">
        <f>((1+0.147+0.1+0.9+0.1+0.147+1)*0.15)*1.1</f>
        <v>0.56001000000000001</v>
      </c>
      <c r="O1485" s="1"/>
    </row>
    <row r="1486" spans="2:15" s="11" customFormat="1" ht="27">
      <c r="B1486" s="141"/>
      <c r="D1486" s="142" t="s">
        <v>95</v>
      </c>
      <c r="E1486" s="143" t="s">
        <v>2</v>
      </c>
      <c r="F1486" s="144" t="s">
        <v>2138</v>
      </c>
      <c r="H1486" s="145">
        <f>((2.33+0.25+1.175+0.25+0.535+0.2+1.25+0.2+2.295+0.34+1.33+0.34+0.415+0.265+0.445+1.22+0.445+0.165)*0.15)*1.1</f>
        <v>2.2192499999999997</v>
      </c>
      <c r="O1486" s="1"/>
    </row>
    <row r="1487" spans="2:15" s="11" customFormat="1" ht="27">
      <c r="B1487" s="141"/>
      <c r="D1487" s="142" t="s">
        <v>95</v>
      </c>
      <c r="E1487" s="143" t="s">
        <v>2</v>
      </c>
      <c r="F1487" s="144" t="s">
        <v>2139</v>
      </c>
      <c r="H1487" s="145">
        <f>((1.515+1.76+0.37+0.5+0.7+0.5+0.445)*0.15+(0.615+1.76+0.37)*0.15)*1.1</f>
        <v>1.4082749999999999</v>
      </c>
      <c r="O1487" s="1"/>
    </row>
    <row r="1488" spans="2:15" s="11" customFormat="1" ht="27">
      <c r="B1488" s="141"/>
      <c r="D1488" s="142" t="s">
        <v>95</v>
      </c>
      <c r="E1488" s="143" t="s">
        <v>2</v>
      </c>
      <c r="F1488" s="144" t="s">
        <v>2140</v>
      </c>
      <c r="H1488" s="145">
        <f>((0.415+0.34+1.33+0.34+0.415+0.415+0.5+1.14+0.5+0.605+1.76)*0.15)*1.1</f>
        <v>1.2804</v>
      </c>
      <c r="O1488" s="1"/>
    </row>
    <row r="1489" spans="2:15" s="11" customFormat="1" ht="54">
      <c r="B1489" s="141"/>
      <c r="D1489" s="142" t="s">
        <v>95</v>
      </c>
      <c r="E1489" s="143" t="s">
        <v>2</v>
      </c>
      <c r="F1489" s="144" t="s">
        <v>2141</v>
      </c>
      <c r="H1489" s="145">
        <f>(((1.372+0.341+1.183+0.341+0.24+0.344+1.183+0.344+1.902)+(2.44+0.148+0.1+0.148+1.885+0.03+0.775+0.03+0.185+1.22+2.365)+(0.626+0.291+1.147+0.291+4.106)+(0.882+0.341+1.156+0.341+1.224+0.341+1.156+0.341+1.224+0.341+1.156+0.341+1.224+0.341+1.156+0.341+0.772))*0.15+(0.611))*1.1</f>
        <v>6.5650750000000002</v>
      </c>
      <c r="O1489" s="1"/>
    </row>
    <row r="1490" spans="2:15" s="12" customFormat="1">
      <c r="B1490" s="146"/>
      <c r="D1490" s="142" t="s">
        <v>95</v>
      </c>
      <c r="E1490" s="342" t="s">
        <v>2</v>
      </c>
      <c r="F1490" s="343" t="s">
        <v>96</v>
      </c>
      <c r="H1490" s="149">
        <f>SUM(H1480:H1489)</f>
        <v>19.041605000000001</v>
      </c>
      <c r="O1490" s="1"/>
    </row>
    <row r="1491" spans="2:15" s="1" customFormat="1" ht="22.5" customHeight="1">
      <c r="B1491" s="39"/>
      <c r="C1491" s="135">
        <f>C1479+1</f>
        <v>341</v>
      </c>
      <c r="D1491" s="135" t="s">
        <v>65</v>
      </c>
      <c r="E1491" s="136" t="s">
        <v>272</v>
      </c>
      <c r="F1491" s="137" t="s">
        <v>1384</v>
      </c>
      <c r="G1491" s="138" t="s">
        <v>105</v>
      </c>
      <c r="H1491" s="139">
        <f>H1501</f>
        <v>47.711999999999989</v>
      </c>
      <c r="I1491" s="90"/>
      <c r="J1491" s="140">
        <f>ROUND(I1491*H1491,2)</f>
        <v>0</v>
      </c>
      <c r="K1491" s="137"/>
    </row>
    <row r="1492" spans="2:15" s="11" customFormat="1">
      <c r="B1492" s="141"/>
      <c r="D1492" s="142" t="s">
        <v>95</v>
      </c>
      <c r="E1492" s="143" t="s">
        <v>2</v>
      </c>
      <c r="F1492" s="144" t="s">
        <v>2151</v>
      </c>
      <c r="H1492" s="145">
        <f>6.898</f>
        <v>6.8979999999999997</v>
      </c>
      <c r="O1492" s="1"/>
    </row>
    <row r="1493" spans="2:15" s="11" customFormat="1">
      <c r="B1493" s="141"/>
      <c r="D1493" s="142" t="s">
        <v>95</v>
      </c>
      <c r="E1493" s="143" t="s">
        <v>2</v>
      </c>
      <c r="F1493" s="144" t="s">
        <v>2152</v>
      </c>
      <c r="H1493" s="145">
        <f>4.074</f>
        <v>4.0739999999999998</v>
      </c>
      <c r="O1493" s="1"/>
    </row>
    <row r="1494" spans="2:15" s="11" customFormat="1">
      <c r="B1494" s="141"/>
      <c r="D1494" s="142" t="s">
        <v>95</v>
      </c>
      <c r="E1494" s="143" t="s">
        <v>2</v>
      </c>
      <c r="F1494" s="144" t="s">
        <v>2153</v>
      </c>
      <c r="H1494" s="145">
        <f>1.395</f>
        <v>1.395</v>
      </c>
      <c r="O1494" s="1"/>
    </row>
    <row r="1495" spans="2:15" s="11" customFormat="1">
      <c r="B1495" s="141"/>
      <c r="D1495" s="142" t="s">
        <v>95</v>
      </c>
      <c r="E1495" s="143" t="s">
        <v>2</v>
      </c>
      <c r="F1495" s="144" t="s">
        <v>2382</v>
      </c>
      <c r="H1495" s="145">
        <f>1.395</f>
        <v>1.395</v>
      </c>
      <c r="O1495" s="1"/>
    </row>
    <row r="1496" spans="2:15" s="11" customFormat="1">
      <c r="B1496" s="141"/>
      <c r="D1496" s="142" t="s">
        <v>95</v>
      </c>
      <c r="E1496" s="143" t="s">
        <v>2</v>
      </c>
      <c r="F1496" s="144" t="s">
        <v>2154</v>
      </c>
      <c r="H1496" s="145">
        <f>4.245</f>
        <v>4.2450000000000001</v>
      </c>
      <c r="O1496" s="1"/>
    </row>
    <row r="1497" spans="2:15" s="11" customFormat="1">
      <c r="B1497" s="141"/>
      <c r="D1497" s="142" t="s">
        <v>95</v>
      </c>
      <c r="E1497" s="143" t="s">
        <v>2</v>
      </c>
      <c r="F1497" s="144" t="s">
        <v>2155</v>
      </c>
      <c r="H1497" s="145">
        <f>14.712</f>
        <v>14.712</v>
      </c>
      <c r="O1497" s="1"/>
    </row>
    <row r="1498" spans="2:15" s="11" customFormat="1">
      <c r="B1498" s="141"/>
      <c r="D1498" s="142" t="s">
        <v>95</v>
      </c>
      <c r="E1498" s="143" t="s">
        <v>2</v>
      </c>
      <c r="F1498" s="144" t="s">
        <v>2156</v>
      </c>
      <c r="H1498" s="145">
        <f>7.503</f>
        <v>7.5030000000000001</v>
      </c>
      <c r="O1498" s="1"/>
    </row>
    <row r="1499" spans="2:15" s="11" customFormat="1">
      <c r="B1499" s="141"/>
      <c r="D1499" s="142" t="s">
        <v>95</v>
      </c>
      <c r="E1499" s="143" t="s">
        <v>2</v>
      </c>
      <c r="F1499" s="144" t="s">
        <v>2157</v>
      </c>
      <c r="H1499" s="145">
        <f>2.666</f>
        <v>2.6659999999999999</v>
      </c>
      <c r="O1499" s="1"/>
    </row>
    <row r="1500" spans="2:15" s="11" customFormat="1">
      <c r="B1500" s="141"/>
      <c r="D1500" s="142" t="s">
        <v>95</v>
      </c>
      <c r="E1500" s="143" t="s">
        <v>2</v>
      </c>
      <c r="F1500" s="144" t="s">
        <v>2158</v>
      </c>
      <c r="H1500" s="145">
        <f>4.824</f>
        <v>4.8239999999999998</v>
      </c>
      <c r="O1500" s="1"/>
    </row>
    <row r="1501" spans="2:15" s="12" customFormat="1">
      <c r="B1501" s="146"/>
      <c r="D1501" s="142" t="s">
        <v>95</v>
      </c>
      <c r="E1501" s="342" t="s">
        <v>2</v>
      </c>
      <c r="F1501" s="343" t="s">
        <v>96</v>
      </c>
      <c r="H1501" s="149">
        <f>SUM(H1492:H1500)</f>
        <v>47.711999999999989</v>
      </c>
      <c r="O1501" s="1"/>
    </row>
    <row r="1502" spans="2:15" s="1" customFormat="1" ht="31.15" customHeight="1">
      <c r="B1502" s="39"/>
      <c r="C1502" s="150">
        <f>C1491+1</f>
        <v>342</v>
      </c>
      <c r="D1502" s="150" t="s">
        <v>123</v>
      </c>
      <c r="E1502" s="151" t="s">
        <v>271</v>
      </c>
      <c r="F1502" s="152" t="s">
        <v>1390</v>
      </c>
      <c r="G1502" s="153" t="s">
        <v>105</v>
      </c>
      <c r="H1502" s="154">
        <f>H1512</f>
        <v>52.483199999999997</v>
      </c>
      <c r="I1502" s="91"/>
      <c r="J1502" s="155">
        <f>ROUND(I1502*H1502,2)</f>
        <v>0</v>
      </c>
      <c r="K1502" s="152"/>
    </row>
    <row r="1503" spans="2:15" s="11" customFormat="1">
      <c r="B1503" s="141"/>
      <c r="D1503" s="142" t="s">
        <v>95</v>
      </c>
      <c r="E1503" s="143" t="s">
        <v>2</v>
      </c>
      <c r="F1503" s="144" t="s">
        <v>2159</v>
      </c>
      <c r="H1503" s="145">
        <f>6.898*1.1</f>
        <v>7.5878000000000005</v>
      </c>
      <c r="O1503" s="1"/>
    </row>
    <row r="1504" spans="2:15" s="11" customFormat="1">
      <c r="B1504" s="141"/>
      <c r="D1504" s="142" t="s">
        <v>95</v>
      </c>
      <c r="E1504" s="143" t="s">
        <v>2</v>
      </c>
      <c r="F1504" s="144" t="s">
        <v>2160</v>
      </c>
      <c r="H1504" s="145">
        <f>4.074*1.1</f>
        <v>4.4813999999999998</v>
      </c>
      <c r="O1504" s="1"/>
    </row>
    <row r="1505" spans="2:15" s="11" customFormat="1">
      <c r="B1505" s="141"/>
      <c r="D1505" s="142" t="s">
        <v>95</v>
      </c>
      <c r="E1505" s="143" t="s">
        <v>2</v>
      </c>
      <c r="F1505" s="144" t="s">
        <v>2161</v>
      </c>
      <c r="H1505" s="145">
        <f>1.395*1.1</f>
        <v>1.5345000000000002</v>
      </c>
      <c r="O1505" s="1"/>
    </row>
    <row r="1506" spans="2:15" s="11" customFormat="1">
      <c r="B1506" s="141"/>
      <c r="D1506" s="142" t="s">
        <v>95</v>
      </c>
      <c r="E1506" s="143" t="s">
        <v>2</v>
      </c>
      <c r="F1506" s="144" t="s">
        <v>2383</v>
      </c>
      <c r="H1506" s="145">
        <f>1.395*1.1</f>
        <v>1.5345000000000002</v>
      </c>
      <c r="O1506" s="1"/>
    </row>
    <row r="1507" spans="2:15" s="11" customFormat="1">
      <c r="B1507" s="141"/>
      <c r="D1507" s="142" t="s">
        <v>95</v>
      </c>
      <c r="E1507" s="143" t="s">
        <v>2</v>
      </c>
      <c r="F1507" s="144" t="s">
        <v>2162</v>
      </c>
      <c r="H1507" s="145">
        <f>4.245*1.1</f>
        <v>4.6695000000000002</v>
      </c>
      <c r="O1507" s="1"/>
    </row>
    <row r="1508" spans="2:15" s="11" customFormat="1">
      <c r="B1508" s="141"/>
      <c r="D1508" s="142" t="s">
        <v>95</v>
      </c>
      <c r="E1508" s="143" t="s">
        <v>2</v>
      </c>
      <c r="F1508" s="144" t="s">
        <v>2163</v>
      </c>
      <c r="H1508" s="145">
        <f>14.712*1.1</f>
        <v>16.183199999999999</v>
      </c>
      <c r="O1508" s="1"/>
    </row>
    <row r="1509" spans="2:15" s="11" customFormat="1">
      <c r="B1509" s="141"/>
      <c r="D1509" s="142" t="s">
        <v>95</v>
      </c>
      <c r="E1509" s="143" t="s">
        <v>2</v>
      </c>
      <c r="F1509" s="144" t="s">
        <v>2164</v>
      </c>
      <c r="H1509" s="145">
        <f>7.503*1.1</f>
        <v>8.2533000000000012</v>
      </c>
      <c r="O1509" s="1"/>
    </row>
    <row r="1510" spans="2:15" s="11" customFormat="1">
      <c r="B1510" s="141"/>
      <c r="D1510" s="142" t="s">
        <v>95</v>
      </c>
      <c r="E1510" s="143" t="s">
        <v>2</v>
      </c>
      <c r="F1510" s="144" t="s">
        <v>2165</v>
      </c>
      <c r="H1510" s="145">
        <f>2.666*1.1</f>
        <v>2.9326000000000003</v>
      </c>
      <c r="O1510" s="1"/>
    </row>
    <row r="1511" spans="2:15" s="11" customFormat="1">
      <c r="B1511" s="141"/>
      <c r="D1511" s="142" t="s">
        <v>95</v>
      </c>
      <c r="E1511" s="143" t="s">
        <v>2</v>
      </c>
      <c r="F1511" s="144" t="s">
        <v>2166</v>
      </c>
      <c r="H1511" s="145">
        <f>4.824*1.1</f>
        <v>5.3064</v>
      </c>
      <c r="O1511" s="1"/>
    </row>
    <row r="1512" spans="2:15" s="12" customFormat="1">
      <c r="B1512" s="146"/>
      <c r="D1512" s="142" t="s">
        <v>95</v>
      </c>
      <c r="E1512" s="342" t="s">
        <v>2</v>
      </c>
      <c r="F1512" s="343" t="s">
        <v>96</v>
      </c>
      <c r="H1512" s="149">
        <f>SUM(H1503:H1511)</f>
        <v>52.483199999999997</v>
      </c>
      <c r="O1512" s="1"/>
    </row>
    <row r="1513" spans="2:15" s="1" customFormat="1" ht="22.5" customHeight="1">
      <c r="B1513" s="39"/>
      <c r="C1513" s="135">
        <f>C1502+1</f>
        <v>343</v>
      </c>
      <c r="D1513" s="135" t="s">
        <v>65</v>
      </c>
      <c r="E1513" s="136" t="s">
        <v>1404</v>
      </c>
      <c r="F1513" s="137" t="s">
        <v>1405</v>
      </c>
      <c r="G1513" s="138" t="s">
        <v>105</v>
      </c>
      <c r="H1513" s="139">
        <f>H1523</f>
        <v>47.711999999999989</v>
      </c>
      <c r="I1513" s="90"/>
      <c r="J1513" s="140">
        <f>ROUND(I1513*H1513,2)</f>
        <v>0</v>
      </c>
      <c r="K1513" s="137"/>
    </row>
    <row r="1514" spans="2:15" s="11" customFormat="1">
      <c r="B1514" s="141"/>
      <c r="D1514" s="142" t="s">
        <v>95</v>
      </c>
      <c r="E1514" s="143" t="s">
        <v>2</v>
      </c>
      <c r="F1514" s="144" t="s">
        <v>2151</v>
      </c>
      <c r="H1514" s="145">
        <f>6.898</f>
        <v>6.8979999999999997</v>
      </c>
      <c r="O1514" s="1"/>
    </row>
    <row r="1515" spans="2:15" s="11" customFormat="1">
      <c r="B1515" s="141"/>
      <c r="D1515" s="142" t="s">
        <v>95</v>
      </c>
      <c r="E1515" s="143" t="s">
        <v>2</v>
      </c>
      <c r="F1515" s="144" t="s">
        <v>2152</v>
      </c>
      <c r="H1515" s="145">
        <f>4.074</f>
        <v>4.0739999999999998</v>
      </c>
      <c r="O1515" s="1"/>
    </row>
    <row r="1516" spans="2:15" s="11" customFormat="1">
      <c r="B1516" s="141"/>
      <c r="D1516" s="142" t="s">
        <v>95</v>
      </c>
      <c r="E1516" s="143" t="s">
        <v>2</v>
      </c>
      <c r="F1516" s="144" t="s">
        <v>2153</v>
      </c>
      <c r="H1516" s="145">
        <f>1.395</f>
        <v>1.395</v>
      </c>
      <c r="O1516" s="1"/>
    </row>
    <row r="1517" spans="2:15" s="11" customFormat="1">
      <c r="B1517" s="141"/>
      <c r="D1517" s="142" t="s">
        <v>95</v>
      </c>
      <c r="E1517" s="143" t="s">
        <v>2</v>
      </c>
      <c r="F1517" s="144" t="s">
        <v>2382</v>
      </c>
      <c r="H1517" s="145">
        <f>1.395</f>
        <v>1.395</v>
      </c>
      <c r="O1517" s="1"/>
    </row>
    <row r="1518" spans="2:15" s="11" customFormat="1">
      <c r="B1518" s="141"/>
      <c r="D1518" s="142" t="s">
        <v>95</v>
      </c>
      <c r="E1518" s="143" t="s">
        <v>2</v>
      </c>
      <c r="F1518" s="144" t="s">
        <v>2154</v>
      </c>
      <c r="H1518" s="145">
        <f>4.245</f>
        <v>4.2450000000000001</v>
      </c>
      <c r="O1518" s="1"/>
    </row>
    <row r="1519" spans="2:15" s="11" customFormat="1">
      <c r="B1519" s="141"/>
      <c r="D1519" s="142" t="s">
        <v>95</v>
      </c>
      <c r="E1519" s="143" t="s">
        <v>2</v>
      </c>
      <c r="F1519" s="144" t="s">
        <v>2155</v>
      </c>
      <c r="H1519" s="145">
        <f>14.712</f>
        <v>14.712</v>
      </c>
      <c r="O1519" s="1"/>
    </row>
    <row r="1520" spans="2:15" s="11" customFormat="1">
      <c r="B1520" s="141"/>
      <c r="D1520" s="142" t="s">
        <v>95</v>
      </c>
      <c r="E1520" s="143" t="s">
        <v>2</v>
      </c>
      <c r="F1520" s="144" t="s">
        <v>2156</v>
      </c>
      <c r="H1520" s="145">
        <f>7.503</f>
        <v>7.5030000000000001</v>
      </c>
      <c r="O1520" s="1"/>
    </row>
    <row r="1521" spans="2:15" s="11" customFormat="1">
      <c r="B1521" s="141"/>
      <c r="D1521" s="142" t="s">
        <v>95</v>
      </c>
      <c r="E1521" s="143" t="s">
        <v>2</v>
      </c>
      <c r="F1521" s="144" t="s">
        <v>2157</v>
      </c>
      <c r="H1521" s="145">
        <f>2.666</f>
        <v>2.6659999999999999</v>
      </c>
      <c r="O1521" s="1"/>
    </row>
    <row r="1522" spans="2:15" s="11" customFormat="1">
      <c r="B1522" s="141"/>
      <c r="D1522" s="142" t="s">
        <v>95</v>
      </c>
      <c r="E1522" s="143" t="s">
        <v>2</v>
      </c>
      <c r="F1522" s="144" t="s">
        <v>2158</v>
      </c>
      <c r="H1522" s="145">
        <f>4.824</f>
        <v>4.8239999999999998</v>
      </c>
      <c r="O1522" s="1"/>
    </row>
    <row r="1523" spans="2:15" s="12" customFormat="1">
      <c r="B1523" s="146"/>
      <c r="D1523" s="142" t="s">
        <v>95</v>
      </c>
      <c r="E1523" s="342" t="s">
        <v>2</v>
      </c>
      <c r="F1523" s="343" t="s">
        <v>96</v>
      </c>
      <c r="H1523" s="149">
        <f>SUM(H1514:H1522)</f>
        <v>47.711999999999989</v>
      </c>
      <c r="O1523" s="1"/>
    </row>
    <row r="1524" spans="2:15" s="1" customFormat="1" ht="22.5" customHeight="1">
      <c r="B1524" s="39"/>
      <c r="C1524" s="135">
        <f>C1513+1</f>
        <v>344</v>
      </c>
      <c r="D1524" s="135" t="s">
        <v>65</v>
      </c>
      <c r="E1524" s="136" t="s">
        <v>273</v>
      </c>
      <c r="F1524" s="137" t="s">
        <v>274</v>
      </c>
      <c r="G1524" s="138" t="s">
        <v>105</v>
      </c>
      <c r="H1524" s="139">
        <f>H1534</f>
        <v>47.711999999999989</v>
      </c>
      <c r="I1524" s="90"/>
      <c r="J1524" s="140">
        <f>ROUND(I1524*H1524,2)</f>
        <v>0</v>
      </c>
      <c r="K1524" s="137"/>
    </row>
    <row r="1525" spans="2:15" s="11" customFormat="1">
      <c r="B1525" s="141"/>
      <c r="D1525" s="142" t="s">
        <v>95</v>
      </c>
      <c r="E1525" s="143" t="s">
        <v>2</v>
      </c>
      <c r="F1525" s="144" t="s">
        <v>2151</v>
      </c>
      <c r="H1525" s="145">
        <f>6.898</f>
        <v>6.8979999999999997</v>
      </c>
      <c r="O1525" s="1"/>
    </row>
    <row r="1526" spans="2:15" s="11" customFormat="1">
      <c r="B1526" s="141"/>
      <c r="D1526" s="142" t="s">
        <v>95</v>
      </c>
      <c r="E1526" s="143" t="s">
        <v>2</v>
      </c>
      <c r="F1526" s="144" t="s">
        <v>2152</v>
      </c>
      <c r="H1526" s="145">
        <f>4.074</f>
        <v>4.0739999999999998</v>
      </c>
      <c r="O1526" s="1"/>
    </row>
    <row r="1527" spans="2:15" s="11" customFormat="1">
      <c r="B1527" s="141"/>
      <c r="D1527" s="142" t="s">
        <v>95</v>
      </c>
      <c r="E1527" s="143" t="s">
        <v>2</v>
      </c>
      <c r="F1527" s="144" t="s">
        <v>2153</v>
      </c>
      <c r="H1527" s="145">
        <f>1.395</f>
        <v>1.395</v>
      </c>
      <c r="O1527" s="1"/>
    </row>
    <row r="1528" spans="2:15" s="11" customFormat="1">
      <c r="B1528" s="141"/>
      <c r="D1528" s="142" t="s">
        <v>95</v>
      </c>
      <c r="E1528" s="143" t="s">
        <v>2</v>
      </c>
      <c r="F1528" s="144" t="s">
        <v>2382</v>
      </c>
      <c r="H1528" s="145">
        <f>1.395</f>
        <v>1.395</v>
      </c>
      <c r="O1528" s="1"/>
    </row>
    <row r="1529" spans="2:15" s="11" customFormat="1">
      <c r="B1529" s="141"/>
      <c r="D1529" s="142" t="s">
        <v>95</v>
      </c>
      <c r="E1529" s="143" t="s">
        <v>2</v>
      </c>
      <c r="F1529" s="144" t="s">
        <v>2154</v>
      </c>
      <c r="H1529" s="145">
        <f>4.245</f>
        <v>4.2450000000000001</v>
      </c>
      <c r="O1529" s="1"/>
    </row>
    <row r="1530" spans="2:15" s="11" customFormat="1">
      <c r="B1530" s="141"/>
      <c r="D1530" s="142" t="s">
        <v>95</v>
      </c>
      <c r="E1530" s="143" t="s">
        <v>2</v>
      </c>
      <c r="F1530" s="144" t="s">
        <v>2155</v>
      </c>
      <c r="H1530" s="145">
        <f>14.712</f>
        <v>14.712</v>
      </c>
      <c r="O1530" s="1"/>
    </row>
    <row r="1531" spans="2:15" s="11" customFormat="1">
      <c r="B1531" s="141"/>
      <c r="D1531" s="142" t="s">
        <v>95</v>
      </c>
      <c r="E1531" s="143" t="s">
        <v>2</v>
      </c>
      <c r="F1531" s="144" t="s">
        <v>2156</v>
      </c>
      <c r="H1531" s="145">
        <f>7.503</f>
        <v>7.5030000000000001</v>
      </c>
      <c r="O1531" s="1"/>
    </row>
    <row r="1532" spans="2:15" s="11" customFormat="1">
      <c r="B1532" s="141"/>
      <c r="D1532" s="142" t="s">
        <v>95</v>
      </c>
      <c r="E1532" s="143" t="s">
        <v>2</v>
      </c>
      <c r="F1532" s="144" t="s">
        <v>2157</v>
      </c>
      <c r="H1532" s="145">
        <f>2.666</f>
        <v>2.6659999999999999</v>
      </c>
      <c r="O1532" s="1"/>
    </row>
    <row r="1533" spans="2:15" s="11" customFormat="1">
      <c r="B1533" s="141"/>
      <c r="D1533" s="142" t="s">
        <v>95</v>
      </c>
      <c r="E1533" s="143" t="s">
        <v>2</v>
      </c>
      <c r="F1533" s="144" t="s">
        <v>2158</v>
      </c>
      <c r="H1533" s="145">
        <f>4.824</f>
        <v>4.8239999999999998</v>
      </c>
      <c r="O1533" s="1"/>
    </row>
    <row r="1534" spans="2:15" s="12" customFormat="1">
      <c r="B1534" s="146"/>
      <c r="D1534" s="142" t="s">
        <v>95</v>
      </c>
      <c r="E1534" s="342" t="s">
        <v>2</v>
      </c>
      <c r="F1534" s="343" t="s">
        <v>96</v>
      </c>
      <c r="H1534" s="149">
        <f>SUM(H1525:H1533)</f>
        <v>47.711999999999989</v>
      </c>
      <c r="O1534" s="1"/>
    </row>
    <row r="1535" spans="2:15" s="1" customFormat="1" ht="22.5" customHeight="1">
      <c r="B1535" s="39"/>
      <c r="C1535" s="135">
        <f>C1524+1</f>
        <v>345</v>
      </c>
      <c r="D1535" s="135" t="s">
        <v>65</v>
      </c>
      <c r="E1535" s="136" t="s">
        <v>1398</v>
      </c>
      <c r="F1535" s="137" t="s">
        <v>2167</v>
      </c>
      <c r="G1535" s="138" t="s">
        <v>261</v>
      </c>
      <c r="H1535" s="139">
        <f>SUM(J1467:J1534)</f>
        <v>0</v>
      </c>
      <c r="I1535" s="90"/>
      <c r="J1535" s="140">
        <f>ROUND(I1535%*H1535,2)</f>
        <v>0</v>
      </c>
      <c r="K1535" s="137"/>
    </row>
    <row r="1536" spans="2:15" s="10" customFormat="1" ht="29.85" customHeight="1">
      <c r="B1536" s="128"/>
      <c r="D1536" s="129" t="s">
        <v>39</v>
      </c>
      <c r="E1536" s="133" t="s">
        <v>275</v>
      </c>
      <c r="F1536" s="133" t="s">
        <v>276</v>
      </c>
      <c r="J1536" s="134">
        <f>SUM(J1537:J1557)</f>
        <v>0</v>
      </c>
    </row>
    <row r="1537" spans="2:15" s="1" customFormat="1" ht="31.5" customHeight="1">
      <c r="B1537" s="39"/>
      <c r="C1537" s="135">
        <f>C1535+1</f>
        <v>346</v>
      </c>
      <c r="D1537" s="135" t="s">
        <v>65</v>
      </c>
      <c r="E1537" s="136" t="s">
        <v>277</v>
      </c>
      <c r="F1537" s="137" t="s">
        <v>278</v>
      </c>
      <c r="G1537" s="138" t="s">
        <v>105</v>
      </c>
      <c r="H1537" s="139">
        <f>H1541</f>
        <v>22.630600000000001</v>
      </c>
      <c r="I1537" s="90"/>
      <c r="J1537" s="140">
        <f>ROUND(I1537*H1537,2)</f>
        <v>0</v>
      </c>
      <c r="K1537" s="137"/>
    </row>
    <row r="1538" spans="2:15" s="11" customFormat="1">
      <c r="B1538" s="141"/>
      <c r="D1538" s="142" t="s">
        <v>95</v>
      </c>
      <c r="E1538" s="143" t="s">
        <v>2</v>
      </c>
      <c r="F1538" s="144" t="s">
        <v>2171</v>
      </c>
      <c r="H1538" s="145">
        <f>(1.525+0.59+0.2)*1.4</f>
        <v>3.2409999999999997</v>
      </c>
      <c r="O1538" s="1"/>
    </row>
    <row r="1539" spans="2:15" s="11" customFormat="1">
      <c r="B1539" s="141"/>
      <c r="D1539" s="142" t="s">
        <v>95</v>
      </c>
      <c r="E1539" s="143" t="s">
        <v>2</v>
      </c>
      <c r="F1539" s="144" t="s">
        <v>1459</v>
      </c>
      <c r="H1539" s="145">
        <f>(0.93+0.765+0.6+0.335+0.93+0.3+0.6+0.8)*3.06</f>
        <v>16.095600000000001</v>
      </c>
      <c r="I1539" s="145"/>
      <c r="O1539" s="1"/>
    </row>
    <row r="1540" spans="2:15" s="11" customFormat="1">
      <c r="B1540" s="141"/>
      <c r="D1540" s="142" t="s">
        <v>95</v>
      </c>
      <c r="E1540" s="143" t="s">
        <v>2</v>
      </c>
      <c r="F1540" s="144" t="s">
        <v>2170</v>
      </c>
      <c r="H1540" s="145">
        <f>(0.615+1.76+0.37)*1.2</f>
        <v>3.294</v>
      </c>
      <c r="O1540" s="1"/>
    </row>
    <row r="1541" spans="2:15" s="12" customFormat="1">
      <c r="B1541" s="146"/>
      <c r="D1541" s="142" t="s">
        <v>95</v>
      </c>
      <c r="E1541" s="342" t="s">
        <v>2</v>
      </c>
      <c r="F1541" s="343" t="s">
        <v>96</v>
      </c>
      <c r="H1541" s="149">
        <f>SUM(H1538:H1540)</f>
        <v>22.630600000000001</v>
      </c>
      <c r="O1541" s="1"/>
    </row>
    <row r="1542" spans="2:15" s="1" customFormat="1" ht="31.15" customHeight="1">
      <c r="B1542" s="39"/>
      <c r="C1542" s="150">
        <f>C1537+1</f>
        <v>347</v>
      </c>
      <c r="D1542" s="150" t="s">
        <v>123</v>
      </c>
      <c r="E1542" s="151" t="s">
        <v>279</v>
      </c>
      <c r="F1542" s="152" t="s">
        <v>2169</v>
      </c>
      <c r="G1542" s="153" t="s">
        <v>105</v>
      </c>
      <c r="H1542" s="154">
        <f>H1546</f>
        <v>24.893660000000004</v>
      </c>
      <c r="I1542" s="91"/>
      <c r="J1542" s="155">
        <f>ROUND(I1542*H1542,2)</f>
        <v>0</v>
      </c>
      <c r="K1542" s="152"/>
    </row>
    <row r="1543" spans="2:15" s="11" customFormat="1">
      <c r="B1543" s="141"/>
      <c r="D1543" s="142" t="s">
        <v>95</v>
      </c>
      <c r="E1543" s="143" t="s">
        <v>2</v>
      </c>
      <c r="F1543" s="144" t="s">
        <v>2172</v>
      </c>
      <c r="H1543" s="145">
        <f>(1.525+0.59+0.2)*1.4*1.1</f>
        <v>3.5650999999999997</v>
      </c>
      <c r="O1543" s="1"/>
    </row>
    <row r="1544" spans="2:15" s="11" customFormat="1">
      <c r="B1544" s="141"/>
      <c r="D1544" s="142" t="s">
        <v>95</v>
      </c>
      <c r="E1544" s="143" t="s">
        <v>2</v>
      </c>
      <c r="F1544" s="144" t="s">
        <v>2173</v>
      </c>
      <c r="H1544" s="145">
        <f>(0.93+0.765+0.6+0.335+0.93+0.3+0.6+0.8)*3.06*1.1</f>
        <v>17.705160000000003</v>
      </c>
      <c r="I1544" s="145"/>
      <c r="O1544" s="1"/>
    </row>
    <row r="1545" spans="2:15" s="11" customFormat="1">
      <c r="B1545" s="141"/>
      <c r="D1545" s="142" t="s">
        <v>95</v>
      </c>
      <c r="E1545" s="143" t="s">
        <v>2</v>
      </c>
      <c r="F1545" s="144" t="s">
        <v>2174</v>
      </c>
      <c r="H1545" s="145">
        <f>(0.615+1.76+0.37)*1.2*1.1</f>
        <v>3.6234000000000002</v>
      </c>
      <c r="O1545" s="1"/>
    </row>
    <row r="1546" spans="2:15" s="12" customFormat="1">
      <c r="B1546" s="146"/>
      <c r="D1546" s="142" t="s">
        <v>95</v>
      </c>
      <c r="E1546" s="342" t="s">
        <v>2</v>
      </c>
      <c r="F1546" s="343" t="s">
        <v>96</v>
      </c>
      <c r="H1546" s="149">
        <f>SUM(H1543:H1545)</f>
        <v>24.893660000000004</v>
      </c>
      <c r="O1546" s="1"/>
    </row>
    <row r="1547" spans="2:15" s="1" customFormat="1" ht="22.5" customHeight="1">
      <c r="B1547" s="39"/>
      <c r="C1547" s="135">
        <f>C1542+1</f>
        <v>348</v>
      </c>
      <c r="D1547" s="135" t="s">
        <v>65</v>
      </c>
      <c r="E1547" s="136" t="s">
        <v>280</v>
      </c>
      <c r="F1547" s="137" t="s">
        <v>2175</v>
      </c>
      <c r="G1547" s="138" t="s">
        <v>105</v>
      </c>
      <c r="H1547" s="139">
        <f>H1551</f>
        <v>22.630600000000001</v>
      </c>
      <c r="I1547" s="90"/>
      <c r="J1547" s="140">
        <f>ROUND(I1547*H1547,2)</f>
        <v>0</v>
      </c>
      <c r="K1547" s="137"/>
    </row>
    <row r="1548" spans="2:15" s="11" customFormat="1">
      <c r="B1548" s="141"/>
      <c r="D1548" s="142" t="s">
        <v>95</v>
      </c>
      <c r="E1548" s="143" t="s">
        <v>2</v>
      </c>
      <c r="F1548" s="144" t="s">
        <v>2171</v>
      </c>
      <c r="H1548" s="145">
        <f>(1.525+0.59+0.2)*1.4</f>
        <v>3.2409999999999997</v>
      </c>
      <c r="O1548" s="1"/>
    </row>
    <row r="1549" spans="2:15" s="11" customFormat="1">
      <c r="B1549" s="141"/>
      <c r="D1549" s="142" t="s">
        <v>95</v>
      </c>
      <c r="E1549" s="143" t="s">
        <v>2</v>
      </c>
      <c r="F1549" s="144" t="s">
        <v>1459</v>
      </c>
      <c r="H1549" s="145">
        <f>(0.93+0.765+0.6+0.335+0.93+0.3+0.6+0.8)*3.06</f>
        <v>16.095600000000001</v>
      </c>
      <c r="I1549" s="145"/>
      <c r="O1549" s="1"/>
    </row>
    <row r="1550" spans="2:15" s="11" customFormat="1">
      <c r="B1550" s="141"/>
      <c r="D1550" s="142" t="s">
        <v>95</v>
      </c>
      <c r="E1550" s="143" t="s">
        <v>2</v>
      </c>
      <c r="F1550" s="144" t="s">
        <v>2170</v>
      </c>
      <c r="H1550" s="145">
        <f>(0.615+1.76+0.37)*1.2</f>
        <v>3.294</v>
      </c>
      <c r="O1550" s="1"/>
    </row>
    <row r="1551" spans="2:15" s="12" customFormat="1">
      <c r="B1551" s="146"/>
      <c r="D1551" s="142" t="s">
        <v>95</v>
      </c>
      <c r="E1551" s="342" t="s">
        <v>2</v>
      </c>
      <c r="F1551" s="343" t="s">
        <v>96</v>
      </c>
      <c r="H1551" s="149">
        <f>SUM(H1548:H1550)</f>
        <v>22.630600000000001</v>
      </c>
      <c r="O1551" s="1"/>
    </row>
    <row r="1552" spans="2:15" s="1" customFormat="1" ht="22.5" customHeight="1">
      <c r="B1552" s="39"/>
      <c r="C1552" s="135">
        <f>C1547+1</f>
        <v>349</v>
      </c>
      <c r="D1552" s="135" t="s">
        <v>65</v>
      </c>
      <c r="E1552" s="136" t="s">
        <v>281</v>
      </c>
      <c r="F1552" s="137" t="s">
        <v>282</v>
      </c>
      <c r="G1552" s="138" t="s">
        <v>105</v>
      </c>
      <c r="H1552" s="139">
        <f>H1556</f>
        <v>22.630600000000001</v>
      </c>
      <c r="I1552" s="90"/>
      <c r="J1552" s="140">
        <f>ROUND(I1552*H1552,2)</f>
        <v>0</v>
      </c>
      <c r="K1552" s="137"/>
    </row>
    <row r="1553" spans="2:15" s="11" customFormat="1">
      <c r="B1553" s="141"/>
      <c r="D1553" s="142" t="s">
        <v>95</v>
      </c>
      <c r="E1553" s="143" t="s">
        <v>2</v>
      </c>
      <c r="F1553" s="144" t="s">
        <v>2171</v>
      </c>
      <c r="H1553" s="145">
        <f>(1.525+0.59+0.2)*1.4</f>
        <v>3.2409999999999997</v>
      </c>
      <c r="O1553" s="1"/>
    </row>
    <row r="1554" spans="2:15" s="11" customFormat="1">
      <c r="B1554" s="141"/>
      <c r="D1554" s="142" t="s">
        <v>95</v>
      </c>
      <c r="E1554" s="143" t="s">
        <v>2</v>
      </c>
      <c r="F1554" s="144" t="s">
        <v>1459</v>
      </c>
      <c r="H1554" s="145">
        <f>(0.93+0.765+0.6+0.335+0.93+0.3+0.6+0.8)*3.06</f>
        <v>16.095600000000001</v>
      </c>
      <c r="I1554" s="145"/>
      <c r="O1554" s="1"/>
    </row>
    <row r="1555" spans="2:15" s="11" customFormat="1">
      <c r="B1555" s="141"/>
      <c r="D1555" s="142" t="s">
        <v>95</v>
      </c>
      <c r="E1555" s="143" t="s">
        <v>2</v>
      </c>
      <c r="F1555" s="144" t="s">
        <v>2170</v>
      </c>
      <c r="H1555" s="145">
        <f>(0.615+1.76+0.37)*1.2</f>
        <v>3.294</v>
      </c>
      <c r="O1555" s="1"/>
    </row>
    <row r="1556" spans="2:15" s="12" customFormat="1">
      <c r="B1556" s="146"/>
      <c r="D1556" s="142" t="s">
        <v>95</v>
      </c>
      <c r="E1556" s="342" t="s">
        <v>2</v>
      </c>
      <c r="F1556" s="343" t="s">
        <v>96</v>
      </c>
      <c r="H1556" s="149">
        <f>SUM(H1553:H1555)</f>
        <v>22.630600000000001</v>
      </c>
      <c r="O1556" s="1"/>
    </row>
    <row r="1557" spans="2:15" s="1" customFormat="1" ht="22.5" customHeight="1">
      <c r="B1557" s="39"/>
      <c r="C1557" s="135">
        <f>C1552+1</f>
        <v>350</v>
      </c>
      <c r="D1557" s="135" t="s">
        <v>65</v>
      </c>
      <c r="E1557" s="136" t="s">
        <v>1402</v>
      </c>
      <c r="F1557" s="137" t="s">
        <v>2286</v>
      </c>
      <c r="G1557" s="138" t="s">
        <v>261</v>
      </c>
      <c r="H1557" s="139">
        <f>SUM(J1537:J1556)</f>
        <v>0</v>
      </c>
      <c r="I1557" s="90"/>
      <c r="J1557" s="140">
        <f>ROUND(I1557%*H1557,2)</f>
        <v>0</v>
      </c>
      <c r="K1557" s="137"/>
    </row>
    <row r="1558" spans="2:15" s="10" customFormat="1" ht="29.45" customHeight="1">
      <c r="B1558" s="128"/>
      <c r="D1558" s="129" t="s">
        <v>39</v>
      </c>
      <c r="E1558" s="133" t="s">
        <v>283</v>
      </c>
      <c r="F1558" s="133" t="s">
        <v>284</v>
      </c>
      <c r="J1558" s="134">
        <f>SUM(J1559:J1580)</f>
        <v>0</v>
      </c>
    </row>
    <row r="1559" spans="2:15" s="1" customFormat="1" ht="40.5">
      <c r="B1559" s="39"/>
      <c r="C1559" s="135">
        <f>C1557+1</f>
        <v>351</v>
      </c>
      <c r="D1559" s="135" t="s">
        <v>65</v>
      </c>
      <c r="E1559" s="136" t="s">
        <v>285</v>
      </c>
      <c r="F1559" s="137" t="s">
        <v>2182</v>
      </c>
      <c r="G1559" s="138" t="s">
        <v>105</v>
      </c>
      <c r="H1559" s="139">
        <f>H1565</f>
        <v>110.4375</v>
      </c>
      <c r="I1559" s="90"/>
      <c r="J1559" s="140">
        <f>ROUND(I1559*H1559,2)</f>
        <v>0</v>
      </c>
      <c r="K1559" s="137"/>
    </row>
    <row r="1560" spans="2:15" s="11" customFormat="1">
      <c r="B1560" s="141"/>
      <c r="D1560" s="142" t="s">
        <v>95</v>
      </c>
      <c r="E1560" s="143" t="s">
        <v>2</v>
      </c>
      <c r="F1560" s="144" t="s">
        <v>2181</v>
      </c>
      <c r="H1560" s="145">
        <f>14.712*1.25</f>
        <v>18.39</v>
      </c>
      <c r="O1560" s="1"/>
    </row>
    <row r="1561" spans="2:15" s="11" customFormat="1">
      <c r="B1561" s="141"/>
      <c r="D1561" s="142" t="s">
        <v>95</v>
      </c>
      <c r="E1561" s="143" t="s">
        <v>2</v>
      </c>
      <c r="F1561" s="144" t="s">
        <v>2180</v>
      </c>
      <c r="H1561" s="145">
        <f>7.503*1.25</f>
        <v>9.3787500000000001</v>
      </c>
      <c r="O1561" s="1"/>
    </row>
    <row r="1562" spans="2:15" s="11" customFormat="1">
      <c r="B1562" s="141"/>
      <c r="D1562" s="142" t="s">
        <v>95</v>
      </c>
      <c r="E1562" s="143" t="s">
        <v>2</v>
      </c>
      <c r="F1562" s="144" t="s">
        <v>2179</v>
      </c>
      <c r="H1562" s="145">
        <f>2.666*1.25</f>
        <v>3.3325</v>
      </c>
      <c r="O1562" s="1"/>
    </row>
    <row r="1563" spans="2:15" s="11" customFormat="1">
      <c r="B1563" s="141"/>
      <c r="D1563" s="142" t="s">
        <v>95</v>
      </c>
      <c r="E1563" s="143" t="s">
        <v>2</v>
      </c>
      <c r="F1563" s="144" t="s">
        <v>2178</v>
      </c>
      <c r="H1563" s="145">
        <f>4.824*1.25</f>
        <v>6.0299999999999994</v>
      </c>
      <c r="O1563" s="1"/>
    </row>
    <row r="1564" spans="2:15" s="11" customFormat="1">
      <c r="B1564" s="141"/>
      <c r="D1564" s="142" t="s">
        <v>95</v>
      </c>
      <c r="E1564" s="143" t="s">
        <v>2</v>
      </c>
      <c r="F1564" s="144" t="s">
        <v>2177</v>
      </c>
      <c r="H1564" s="145">
        <f>58.645*1.25</f>
        <v>73.306250000000006</v>
      </c>
      <c r="O1564" s="1"/>
    </row>
    <row r="1565" spans="2:15" s="12" customFormat="1">
      <c r="B1565" s="146"/>
      <c r="D1565" s="142" t="s">
        <v>95</v>
      </c>
      <c r="E1565" s="342" t="s">
        <v>2</v>
      </c>
      <c r="F1565" s="343" t="s">
        <v>96</v>
      </c>
      <c r="H1565" s="149">
        <f>SUM(H1560:H1564)</f>
        <v>110.4375</v>
      </c>
      <c r="O1565" s="1"/>
    </row>
    <row r="1566" spans="2:15" s="1" customFormat="1" ht="27">
      <c r="B1566" s="39"/>
      <c r="C1566" s="135">
        <f>C1559+1</f>
        <v>352</v>
      </c>
      <c r="D1566" s="135" t="s">
        <v>65</v>
      </c>
      <c r="E1566" s="136" t="s">
        <v>286</v>
      </c>
      <c r="F1566" s="137" t="s">
        <v>2211</v>
      </c>
      <c r="G1566" s="138" t="s">
        <v>105</v>
      </c>
      <c r="H1566" s="139">
        <f>H1572</f>
        <v>89.801449999999988</v>
      </c>
      <c r="I1566" s="90"/>
      <c r="J1566" s="140">
        <f>ROUND(I1566*H1566,2)</f>
        <v>0</v>
      </c>
      <c r="K1566" s="137"/>
    </row>
    <row r="1567" spans="2:15" s="11" customFormat="1" ht="40.5">
      <c r="B1567" s="141"/>
      <c r="D1567" s="142" t="s">
        <v>95</v>
      </c>
      <c r="E1567" s="143" t="s">
        <v>2</v>
      </c>
      <c r="F1567" s="144" t="s">
        <v>2081</v>
      </c>
      <c r="H1567" s="145">
        <f>(0.42+0.4+0.94+0.4+2.24+0.2+1.25+2.3+0.37+0.5+0.7+0.5+0.86+0.5+1.14+0.5+0.58+0.54+0.12+0.09+0.89+0.09+0.12+0.785+1.16+0.195)*1.9</f>
        <v>33.800999999999995</v>
      </c>
      <c r="O1567" s="1"/>
    </row>
    <row r="1568" spans="2:15" s="11" customFormat="1">
      <c r="B1568" s="141"/>
      <c r="D1568" s="142" t="s">
        <v>95</v>
      </c>
      <c r="E1568" s="143" t="s">
        <v>2</v>
      </c>
      <c r="F1568" s="144" t="s">
        <v>2089</v>
      </c>
      <c r="H1568" s="145">
        <f>(1+0.147+0.1+0.9+0.1+0.147+1)*2.5</f>
        <v>8.4849999999999994</v>
      </c>
      <c r="O1568" s="1"/>
    </row>
    <row r="1569" spans="2:15" s="11" customFormat="1">
      <c r="B1569" s="141"/>
      <c r="D1569" s="142" t="s">
        <v>95</v>
      </c>
      <c r="E1569" s="143" t="s">
        <v>2</v>
      </c>
      <c r="F1569" s="144" t="s">
        <v>2082</v>
      </c>
      <c r="H1569" s="145">
        <f>(2.33+0.25+1.175+0.25+0.535+0.15+0.15+2.295)*0.97</f>
        <v>6.9209500000000004</v>
      </c>
      <c r="O1569" s="1"/>
    </row>
    <row r="1570" spans="2:15" s="11" customFormat="1" ht="27">
      <c r="B1570" s="141"/>
      <c r="D1570" s="142" t="s">
        <v>95</v>
      </c>
      <c r="E1570" s="143" t="s">
        <v>2</v>
      </c>
      <c r="F1570" s="144" t="s">
        <v>2090</v>
      </c>
      <c r="H1570" s="145">
        <f>(0.86+0.5+0.605+1.76+0.415+0.34+0.34+1.315)*0.97</f>
        <v>5.9509499999999997</v>
      </c>
      <c r="O1570" s="1"/>
    </row>
    <row r="1571" spans="2:15" s="11" customFormat="1" ht="54">
      <c r="B1571" s="141"/>
      <c r="D1571" s="142" t="s">
        <v>95</v>
      </c>
      <c r="E1571" s="143" t="s">
        <v>2</v>
      </c>
      <c r="F1571" s="144" t="s">
        <v>2083</v>
      </c>
      <c r="H1571" s="145">
        <f>((1.372+0.341+1.183+0.341+0.24+0.344+1.183+0.344+1.902)+(2.44+0.148+0.1+0.148+1.885+0.03+0.775+0.03+0.185+1.22+2.365)+(0.626+0.291+1.147+0.291+4.106)+(0.882+0.341+1.156+0.341+1.224+0.341+1.156+0.341+1.224+0.341+1.156+0.341+1.224+0.341+1.156+0.341+0.772))*0.97</f>
        <v>34.643549999999998</v>
      </c>
      <c r="O1571" s="1"/>
    </row>
    <row r="1572" spans="2:15" s="12" customFormat="1">
      <c r="B1572" s="146"/>
      <c r="D1572" s="142" t="s">
        <v>95</v>
      </c>
      <c r="E1572" s="147" t="s">
        <v>2</v>
      </c>
      <c r="F1572" s="148" t="s">
        <v>96</v>
      </c>
      <c r="H1572" s="149">
        <f>SUM(H1567:H1571)</f>
        <v>89.801449999999988</v>
      </c>
      <c r="O1572" s="1"/>
    </row>
    <row r="1573" spans="2:15" s="1" customFormat="1" ht="22.5" customHeight="1">
      <c r="B1573" s="39"/>
      <c r="C1573" s="135">
        <f>C1566+1</f>
        <v>353</v>
      </c>
      <c r="D1573" s="135" t="s">
        <v>65</v>
      </c>
      <c r="E1573" s="136" t="s">
        <v>2212</v>
      </c>
      <c r="F1573" s="137" t="s">
        <v>2215</v>
      </c>
      <c r="G1573" s="138" t="s">
        <v>265</v>
      </c>
      <c r="H1573" s="139">
        <f>H1577</f>
        <v>3</v>
      </c>
      <c r="I1573" s="90"/>
      <c r="J1573" s="140">
        <f>ROUND(I1573*H1573,2)</f>
        <v>0</v>
      </c>
      <c r="K1573" s="137"/>
    </row>
    <row r="1574" spans="2:15" s="11" customFormat="1">
      <c r="B1574" s="141"/>
      <c r="D1574" s="142" t="s">
        <v>95</v>
      </c>
      <c r="E1574" s="143" t="s">
        <v>2</v>
      </c>
      <c r="F1574" s="144" t="s">
        <v>2213</v>
      </c>
      <c r="H1574" s="145">
        <f>1</f>
        <v>1</v>
      </c>
      <c r="I1574" s="145"/>
      <c r="O1574" s="1"/>
    </row>
    <row r="1575" spans="2:15" s="11" customFormat="1">
      <c r="B1575" s="141"/>
      <c r="D1575" s="142" t="s">
        <v>95</v>
      </c>
      <c r="E1575" s="143" t="s">
        <v>2</v>
      </c>
      <c r="F1575" s="144" t="s">
        <v>2385</v>
      </c>
      <c r="H1575" s="145">
        <f>1</f>
        <v>1</v>
      </c>
      <c r="I1575" s="145"/>
      <c r="O1575" s="1"/>
    </row>
    <row r="1576" spans="2:15" s="11" customFormat="1">
      <c r="B1576" s="141"/>
      <c r="D1576" s="142" t="s">
        <v>95</v>
      </c>
      <c r="E1576" s="143" t="s">
        <v>2</v>
      </c>
      <c r="F1576" s="144" t="s">
        <v>2214</v>
      </c>
      <c r="H1576" s="145">
        <f>1</f>
        <v>1</v>
      </c>
      <c r="O1576" s="1"/>
    </row>
    <row r="1577" spans="2:15" s="12" customFormat="1">
      <c r="B1577" s="146"/>
      <c r="D1577" s="142" t="s">
        <v>95</v>
      </c>
      <c r="E1577" s="342" t="s">
        <v>2</v>
      </c>
      <c r="F1577" s="343" t="s">
        <v>96</v>
      </c>
      <c r="H1577" s="149">
        <f>SUM(H1574:H1576)</f>
        <v>3</v>
      </c>
      <c r="O1577" s="1"/>
    </row>
    <row r="1578" spans="2:15" s="1" customFormat="1" ht="22.5" customHeight="1">
      <c r="B1578" s="39"/>
      <c r="C1578" s="135">
        <f>C1573+1</f>
        <v>354</v>
      </c>
      <c r="D1578" s="135" t="s">
        <v>65</v>
      </c>
      <c r="E1578" s="136" t="s">
        <v>2216</v>
      </c>
      <c r="F1578" s="137" t="s">
        <v>2218</v>
      </c>
      <c r="G1578" s="138" t="s">
        <v>105</v>
      </c>
      <c r="H1578" s="139">
        <f>H1580</f>
        <v>27.36</v>
      </c>
      <c r="I1578" s="90"/>
      <c r="J1578" s="140">
        <f>ROUND(I1578*H1578,2)</f>
        <v>0</v>
      </c>
      <c r="K1578" s="137"/>
    </row>
    <row r="1579" spans="2:15" s="11" customFormat="1">
      <c r="B1579" s="141"/>
      <c r="D1579" s="142" t="s">
        <v>95</v>
      </c>
      <c r="E1579" s="143" t="s">
        <v>2</v>
      </c>
      <c r="F1579" s="144" t="s">
        <v>2217</v>
      </c>
      <c r="H1579" s="145">
        <f>((0.1*4+0.16*2)*2)*19</f>
        <v>27.36</v>
      </c>
      <c r="I1579" s="145"/>
      <c r="O1579" s="1"/>
    </row>
    <row r="1580" spans="2:15" s="12" customFormat="1">
      <c r="B1580" s="146"/>
      <c r="D1580" s="142" t="s">
        <v>95</v>
      </c>
      <c r="E1580" s="342" t="s">
        <v>2</v>
      </c>
      <c r="F1580" s="343" t="s">
        <v>96</v>
      </c>
      <c r="H1580" s="149">
        <f>SUM(H1579:H1579)</f>
        <v>27.36</v>
      </c>
      <c r="O1580" s="1"/>
    </row>
    <row r="1581" spans="2:15" s="10" customFormat="1" ht="29.85" customHeight="1">
      <c r="B1581" s="128"/>
      <c r="D1581" s="129" t="s">
        <v>39</v>
      </c>
      <c r="E1581" s="133" t="s">
        <v>294</v>
      </c>
      <c r="F1581" s="133" t="s">
        <v>295</v>
      </c>
      <c r="J1581" s="134">
        <f>SUM(J1582:J1633)</f>
        <v>0</v>
      </c>
    </row>
    <row r="1582" spans="2:15" s="1" customFormat="1" ht="24" customHeight="1">
      <c r="B1582" s="39"/>
      <c r="C1582" s="135">
        <f>C1578+1</f>
        <v>355</v>
      </c>
      <c r="D1582" s="135" t="s">
        <v>65</v>
      </c>
      <c r="E1582" s="136" t="s">
        <v>296</v>
      </c>
      <c r="F1582" s="137" t="s">
        <v>2219</v>
      </c>
      <c r="G1582" s="138" t="s">
        <v>105</v>
      </c>
      <c r="H1582" s="139">
        <f>H1607</f>
        <v>509.55718000000002</v>
      </c>
      <c r="I1582" s="90"/>
      <c r="J1582" s="140">
        <f>ROUND(I1582*H1582,2)</f>
        <v>0</v>
      </c>
      <c r="K1582" s="137"/>
    </row>
    <row r="1583" spans="2:15" s="11" customFormat="1" ht="27">
      <c r="B1583" s="141"/>
      <c r="D1583" s="142" t="s">
        <v>95</v>
      </c>
      <c r="E1583" s="143" t="s">
        <v>2</v>
      </c>
      <c r="F1583" s="144" t="s">
        <v>2237</v>
      </c>
      <c r="H1583" s="145">
        <f>(0.1+0.2+1.525+0.59+0.2+1.11+0.51+0.2+3.09+1.9+0.885+0.2+0.1)*(3.06-0.1)-(1.525+0.59+0.2)*1.4</f>
        <v>28.164599999999997</v>
      </c>
      <c r="O1583" s="1"/>
    </row>
    <row r="1584" spans="2:15" s="11" customFormat="1" ht="24" customHeight="1">
      <c r="B1584" s="141"/>
      <c r="D1584" s="142" t="s">
        <v>95</v>
      </c>
      <c r="E1584" s="143" t="s">
        <v>2</v>
      </c>
      <c r="F1584" s="144" t="s">
        <v>2384</v>
      </c>
      <c r="H1584" s="145">
        <f>(0.8+1.7)*2*3.06+(0.8*1.7)-(0.7*2.02)</f>
        <v>15.246</v>
      </c>
      <c r="O1584" s="1"/>
    </row>
    <row r="1585" spans="2:15" s="11" customFormat="1" ht="27">
      <c r="B1585" s="141"/>
      <c r="D1585" s="142" t="s">
        <v>95</v>
      </c>
      <c r="E1585" s="143" t="s">
        <v>2</v>
      </c>
      <c r="F1585" s="144" t="s">
        <v>2238</v>
      </c>
      <c r="H1585" s="145">
        <f>(0.75+0.35+1.7+0.5+1.14+0.5+0.58+1.7+0.38+0.35+0.38+1.8)*(3.3-0.15)</f>
        <v>31.909500000000001</v>
      </c>
      <c r="O1585" s="1"/>
    </row>
    <row r="1586" spans="2:15" s="11" customFormat="1" ht="40.5">
      <c r="B1586" s="141"/>
      <c r="D1586" s="142" t="s">
        <v>95</v>
      </c>
      <c r="E1586" s="143" t="s">
        <v>2</v>
      </c>
      <c r="F1586" s="144" t="s">
        <v>2239</v>
      </c>
      <c r="H1586" s="145">
        <f>(0.42+0.4+0.94+0.4+2.24+0.2+1.25+2.3+0.37+0.5+0.7+0.5+0.86+0.5+1.14+0.5+0.58+0.54+0.12+0.09+0.89+0.09+0.12+0.785+1.16+0.195)*(3.15-0.15)</f>
        <v>53.37</v>
      </c>
      <c r="O1586" s="1"/>
    </row>
    <row r="1587" spans="2:15" s="11" customFormat="1" ht="27">
      <c r="B1587" s="141"/>
      <c r="D1587" s="142" t="s">
        <v>95</v>
      </c>
      <c r="E1587" s="143" t="s">
        <v>2</v>
      </c>
      <c r="F1587" s="144" t="s">
        <v>2240</v>
      </c>
      <c r="H1587" s="145">
        <f>(0.893+0.2+1.25+1)*(3.44-0.15)</f>
        <v>10.998469999999999</v>
      </c>
      <c r="O1587" s="1"/>
    </row>
    <row r="1588" spans="2:15" s="11" customFormat="1" ht="27">
      <c r="B1588" s="141"/>
      <c r="D1588" s="142" t="s">
        <v>95</v>
      </c>
      <c r="E1588" s="143" t="s">
        <v>2</v>
      </c>
      <c r="F1588" s="144" t="s">
        <v>2241</v>
      </c>
      <c r="H1588" s="145">
        <f>(1+0.147+0.1+0.9+0.1+0.147+1)*(3.44-0.15)</f>
        <v>11.166260000000001</v>
      </c>
      <c r="O1588" s="1"/>
    </row>
    <row r="1589" spans="2:15" s="11" customFormat="1" ht="27">
      <c r="B1589" s="141"/>
      <c r="D1589" s="142" t="s">
        <v>95</v>
      </c>
      <c r="E1589" s="143" t="s">
        <v>2</v>
      </c>
      <c r="F1589" s="144" t="s">
        <v>2242</v>
      </c>
      <c r="H1589" s="145">
        <f>(2.33+0.25+1.175+0.25+0.535+0.2+1.25+0.2+2.295+0.34+1.33+0.34+0.415+0.265+0.445+1.22+0.445+0.165)*(3.44-0.15)</f>
        <v>44.250499999999995</v>
      </c>
      <c r="O1589" s="1"/>
    </row>
    <row r="1590" spans="2:15" s="11" customFormat="1" ht="40.5">
      <c r="B1590" s="141"/>
      <c r="D1590" s="142" t="s">
        <v>95</v>
      </c>
      <c r="E1590" s="143" t="s">
        <v>2</v>
      </c>
      <c r="F1590" s="144" t="s">
        <v>2243</v>
      </c>
      <c r="H1590" s="145">
        <f>((1.515+1.76+0.37+0.5+0.7+0.5+0.445)*3.44)-((1.515+1.76+0.37+0.5+0.7+0.5+0.445)*0.15+(0.615+1.76+0.37)*1.2)</f>
        <v>15.755100000000001</v>
      </c>
      <c r="O1590" s="1"/>
    </row>
    <row r="1591" spans="2:15" s="11" customFormat="1" ht="27">
      <c r="B1591" s="141"/>
      <c r="D1591" s="142" t="s">
        <v>95</v>
      </c>
      <c r="E1591" s="143" t="s">
        <v>2</v>
      </c>
      <c r="F1591" s="144" t="s">
        <v>2244</v>
      </c>
      <c r="H1591" s="145">
        <f>(0.415+0.34+1.33+0.34+0.415+0.415+0.5+1.14+0.5+0.605+1.76)*(3.44-0.15)</f>
        <v>25.5304</v>
      </c>
      <c r="O1591" s="1"/>
    </row>
    <row r="1592" spans="2:15" s="11" customFormat="1" ht="54">
      <c r="B1592" s="141"/>
      <c r="D1592" s="142" t="s">
        <v>95</v>
      </c>
      <c r="E1592" s="143" t="s">
        <v>2</v>
      </c>
      <c r="F1592" s="144" t="s">
        <v>2245</v>
      </c>
      <c r="H1592" s="145">
        <f>((1.372+0.341+1.183+0.341+0.24+0.344+1.183+0.344+1.902)+(2.44+0.148+0.1+0.148+1.885+0.03+0.775+0.03+0.185+1.22+2.365)+(0.626+0.291+1.147+0.291+4.106)+(0.882+0.341+1.156+0.341+1.224+0.341+1.156+0.341+1.224+0.341+1.156+0.341+1.224+0.341+1.156+0.341+0.772))*(3.44-0.15)</f>
        <v>117.50234999999999</v>
      </c>
      <c r="O1592" s="1"/>
    </row>
    <row r="1593" spans="2:15" s="11" customFormat="1" ht="40.9" customHeight="1">
      <c r="B1593" s="141"/>
      <c r="D1593" s="142" t="s">
        <v>95</v>
      </c>
      <c r="E1593" s="143" t="s">
        <v>2</v>
      </c>
      <c r="F1593" s="144" t="s">
        <v>2223</v>
      </c>
      <c r="H1593" s="145">
        <f>((0.7+2.02*2)*1+(1.35+2.02*2)*1+(1.41+2.44*2)*1+(1.36+2.4*2)*1+(1.09+2.29*2)*1+(1.45+2.4*2)*1+(1.42+2.39*2)*1+(1+2.02*2)*1)*0.1</f>
        <v>4.5740000000000007</v>
      </c>
      <c r="O1593" s="1"/>
    </row>
    <row r="1594" spans="2:15" s="11" customFormat="1">
      <c r="B1594" s="141"/>
      <c r="D1594" s="142" t="s">
        <v>95</v>
      </c>
      <c r="E1594" s="143" t="s">
        <v>2</v>
      </c>
      <c r="F1594" s="144" t="s">
        <v>2224</v>
      </c>
      <c r="H1594" s="145">
        <f>(((0.7+1.4*2)*2)*2)*0.4</f>
        <v>5.6000000000000005</v>
      </c>
      <c r="O1594" s="1"/>
    </row>
    <row r="1595" spans="2:15" s="11" customFormat="1">
      <c r="B1595" s="141"/>
      <c r="D1595" s="142" t="s">
        <v>95</v>
      </c>
      <c r="E1595" s="143" t="s">
        <v>2</v>
      </c>
      <c r="F1595" s="144" t="s">
        <v>2225</v>
      </c>
      <c r="H1595" s="145">
        <f>(((1+2*2)*2)*7)*0.5</f>
        <v>35</v>
      </c>
      <c r="O1595" s="1"/>
    </row>
    <row r="1596" spans="2:15" s="11" customFormat="1">
      <c r="B1596" s="141"/>
      <c r="D1596" s="142" t="s">
        <v>95</v>
      </c>
      <c r="E1596" s="143" t="s">
        <v>2</v>
      </c>
      <c r="F1596" s="144" t="s">
        <v>2226</v>
      </c>
      <c r="H1596" s="145">
        <f>6.898</f>
        <v>6.8979999999999997</v>
      </c>
      <c r="O1596" s="1"/>
    </row>
    <row r="1597" spans="2:15" s="11" customFormat="1">
      <c r="B1597" s="141"/>
      <c r="D1597" s="142" t="s">
        <v>95</v>
      </c>
      <c r="E1597" s="143" t="s">
        <v>2</v>
      </c>
      <c r="F1597" s="144" t="s">
        <v>2227</v>
      </c>
      <c r="H1597" s="145">
        <f>4.074</f>
        <v>4.0739999999999998</v>
      </c>
      <c r="O1597" s="1"/>
    </row>
    <row r="1598" spans="2:15" s="11" customFormat="1">
      <c r="B1598" s="141"/>
      <c r="D1598" s="142" t="s">
        <v>95</v>
      </c>
      <c r="E1598" s="143" t="s">
        <v>2</v>
      </c>
      <c r="F1598" s="144" t="s">
        <v>2228</v>
      </c>
      <c r="H1598" s="145">
        <f>1.395</f>
        <v>1.395</v>
      </c>
      <c r="O1598" s="1"/>
    </row>
    <row r="1599" spans="2:15" s="11" customFormat="1">
      <c r="B1599" s="141"/>
      <c r="D1599" s="142" t="s">
        <v>95</v>
      </c>
      <c r="E1599" s="143" t="s">
        <v>2</v>
      </c>
      <c r="F1599" s="144" t="s">
        <v>2229</v>
      </c>
      <c r="H1599" s="145">
        <f>4.245</f>
        <v>4.2450000000000001</v>
      </c>
      <c r="O1599" s="1"/>
    </row>
    <row r="1600" spans="2:15" s="11" customFormat="1">
      <c r="B1600" s="141"/>
      <c r="D1600" s="142" t="s">
        <v>95</v>
      </c>
      <c r="E1600" s="143" t="s">
        <v>2</v>
      </c>
      <c r="F1600" s="144" t="s">
        <v>2230</v>
      </c>
      <c r="H1600" s="145">
        <f>14.712</f>
        <v>14.712</v>
      </c>
      <c r="O1600" s="1"/>
    </row>
    <row r="1601" spans="2:15" s="11" customFormat="1">
      <c r="B1601" s="141"/>
      <c r="D1601" s="142" t="s">
        <v>95</v>
      </c>
      <c r="E1601" s="143" t="s">
        <v>2</v>
      </c>
      <c r="F1601" s="144" t="s">
        <v>2231</v>
      </c>
      <c r="H1601" s="145">
        <f>2.406</f>
        <v>2.4060000000000001</v>
      </c>
      <c r="O1601" s="1"/>
    </row>
    <row r="1602" spans="2:15" s="11" customFormat="1">
      <c r="B1602" s="141"/>
      <c r="D1602" s="142" t="s">
        <v>95</v>
      </c>
      <c r="E1602" s="143" t="s">
        <v>2</v>
      </c>
      <c r="F1602" s="144" t="s">
        <v>2232</v>
      </c>
      <c r="H1602" s="145">
        <f>3.122</f>
        <v>3.1219999999999999</v>
      </c>
      <c r="O1602" s="1"/>
    </row>
    <row r="1603" spans="2:15" s="11" customFormat="1">
      <c r="B1603" s="141"/>
      <c r="D1603" s="142" t="s">
        <v>95</v>
      </c>
      <c r="E1603" s="143" t="s">
        <v>2</v>
      </c>
      <c r="F1603" s="144" t="s">
        <v>2233</v>
      </c>
      <c r="H1603" s="145">
        <f>7.503</f>
        <v>7.5030000000000001</v>
      </c>
      <c r="O1603" s="1"/>
    </row>
    <row r="1604" spans="2:15" s="11" customFormat="1">
      <c r="B1604" s="141"/>
      <c r="D1604" s="142" t="s">
        <v>95</v>
      </c>
      <c r="E1604" s="143" t="s">
        <v>2</v>
      </c>
      <c r="F1604" s="144" t="s">
        <v>2234</v>
      </c>
      <c r="H1604" s="145">
        <f>2.666</f>
        <v>2.6659999999999999</v>
      </c>
      <c r="O1604" s="1"/>
    </row>
    <row r="1605" spans="2:15" s="11" customFormat="1">
      <c r="B1605" s="141"/>
      <c r="D1605" s="142" t="s">
        <v>95</v>
      </c>
      <c r="E1605" s="143" t="s">
        <v>2</v>
      </c>
      <c r="F1605" s="144" t="s">
        <v>2235</v>
      </c>
      <c r="H1605" s="145">
        <f>4.824</f>
        <v>4.8239999999999998</v>
      </c>
      <c r="O1605" s="1"/>
    </row>
    <row r="1606" spans="2:15" s="11" customFormat="1">
      <c r="B1606" s="141"/>
      <c r="D1606" s="142" t="s">
        <v>95</v>
      </c>
      <c r="E1606" s="143" t="s">
        <v>2</v>
      </c>
      <c r="F1606" s="144" t="s">
        <v>2236</v>
      </c>
      <c r="H1606" s="145">
        <f>58.645</f>
        <v>58.645000000000003</v>
      </c>
      <c r="O1606" s="1"/>
    </row>
    <row r="1607" spans="2:15" s="12" customFormat="1">
      <c r="B1607" s="146"/>
      <c r="D1607" s="142" t="s">
        <v>95</v>
      </c>
      <c r="E1607" s="342" t="s">
        <v>2</v>
      </c>
      <c r="F1607" s="343" t="s">
        <v>96</v>
      </c>
      <c r="H1607" s="149">
        <f>SUM(H1583:H1606)</f>
        <v>509.55718000000002</v>
      </c>
      <c r="O1607" s="1"/>
    </row>
    <row r="1608" spans="2:15" s="1" customFormat="1" ht="31.15" customHeight="1">
      <c r="B1608" s="39"/>
      <c r="C1608" s="135">
        <f>C1582+1</f>
        <v>356</v>
      </c>
      <c r="D1608" s="135" t="s">
        <v>65</v>
      </c>
      <c r="E1608" s="136" t="s">
        <v>297</v>
      </c>
      <c r="F1608" s="137" t="s">
        <v>298</v>
      </c>
      <c r="G1608" s="138" t="s">
        <v>105</v>
      </c>
      <c r="H1608" s="139">
        <f>H1633</f>
        <v>509.55718000000002</v>
      </c>
      <c r="I1608" s="90"/>
      <c r="J1608" s="140">
        <f>ROUND(I1608*H1608,2)</f>
        <v>0</v>
      </c>
      <c r="K1608" s="137"/>
    </row>
    <row r="1609" spans="2:15" s="11" customFormat="1" ht="27">
      <c r="B1609" s="141"/>
      <c r="D1609" s="142" t="s">
        <v>95</v>
      </c>
      <c r="E1609" s="143" t="s">
        <v>2</v>
      </c>
      <c r="F1609" s="144" t="s">
        <v>2237</v>
      </c>
      <c r="H1609" s="145">
        <f>(0.1+0.2+1.525+0.59+0.2+1.11+0.51+0.2+3.09+1.9+0.885+0.2+0.1)*(3.06-0.1)-(1.525+0.59+0.2)*1.4</f>
        <v>28.164599999999997</v>
      </c>
      <c r="O1609" s="1"/>
    </row>
    <row r="1610" spans="2:15" s="11" customFormat="1" ht="24" customHeight="1">
      <c r="B1610" s="141"/>
      <c r="D1610" s="142" t="s">
        <v>95</v>
      </c>
      <c r="E1610" s="143" t="s">
        <v>2</v>
      </c>
      <c r="F1610" s="144" t="s">
        <v>2384</v>
      </c>
      <c r="H1610" s="145">
        <f>(0.8+1.7)*2*3.06+(0.8*1.7)-(0.7*2.02)</f>
        <v>15.246</v>
      </c>
      <c r="O1610" s="1"/>
    </row>
    <row r="1611" spans="2:15" s="11" customFormat="1" ht="27">
      <c r="B1611" s="141"/>
      <c r="D1611" s="142" t="s">
        <v>95</v>
      </c>
      <c r="E1611" s="143" t="s">
        <v>2</v>
      </c>
      <c r="F1611" s="144" t="s">
        <v>2238</v>
      </c>
      <c r="H1611" s="145">
        <f>(0.75+0.35+1.7+0.5+1.14+0.5+0.58+1.7+0.38+0.35+0.38+1.8)*(3.3-0.15)</f>
        <v>31.909500000000001</v>
      </c>
      <c r="O1611" s="1"/>
    </row>
    <row r="1612" spans="2:15" s="11" customFormat="1" ht="40.5">
      <c r="B1612" s="141"/>
      <c r="D1612" s="142" t="s">
        <v>95</v>
      </c>
      <c r="E1612" s="143" t="s">
        <v>2</v>
      </c>
      <c r="F1612" s="144" t="s">
        <v>2239</v>
      </c>
      <c r="H1612" s="145">
        <f>(0.42+0.4+0.94+0.4+2.24+0.2+1.25+2.3+0.37+0.5+0.7+0.5+0.86+0.5+1.14+0.5+0.58+0.54+0.12+0.09+0.89+0.09+0.12+0.785+1.16+0.195)*(3.15-0.15)</f>
        <v>53.37</v>
      </c>
      <c r="O1612" s="1"/>
    </row>
    <row r="1613" spans="2:15" s="11" customFormat="1" ht="27">
      <c r="B1613" s="141"/>
      <c r="D1613" s="142" t="s">
        <v>95</v>
      </c>
      <c r="E1613" s="143" t="s">
        <v>2</v>
      </c>
      <c r="F1613" s="144" t="s">
        <v>2240</v>
      </c>
      <c r="H1613" s="145">
        <f>(0.893+0.2+1.25+1)*(3.44-0.15)</f>
        <v>10.998469999999999</v>
      </c>
      <c r="O1613" s="1"/>
    </row>
    <row r="1614" spans="2:15" s="11" customFormat="1" ht="27">
      <c r="B1614" s="141"/>
      <c r="D1614" s="142" t="s">
        <v>95</v>
      </c>
      <c r="E1614" s="143" t="s">
        <v>2</v>
      </c>
      <c r="F1614" s="144" t="s">
        <v>2241</v>
      </c>
      <c r="H1614" s="145">
        <f>(1+0.147+0.1+0.9+0.1+0.147+1)*(3.44-0.15)</f>
        <v>11.166260000000001</v>
      </c>
      <c r="O1614" s="1"/>
    </row>
    <row r="1615" spans="2:15" s="11" customFormat="1" ht="27">
      <c r="B1615" s="141"/>
      <c r="D1615" s="142" t="s">
        <v>95</v>
      </c>
      <c r="E1615" s="143" t="s">
        <v>2</v>
      </c>
      <c r="F1615" s="144" t="s">
        <v>2242</v>
      </c>
      <c r="H1615" s="145">
        <f>(2.33+0.25+1.175+0.25+0.535+0.2+1.25+0.2+2.295+0.34+1.33+0.34+0.415+0.265+0.445+1.22+0.445+0.165)*(3.44-0.15)</f>
        <v>44.250499999999995</v>
      </c>
      <c r="O1615" s="1"/>
    </row>
    <row r="1616" spans="2:15" s="11" customFormat="1" ht="40.5">
      <c r="B1616" s="141"/>
      <c r="D1616" s="142" t="s">
        <v>95</v>
      </c>
      <c r="E1616" s="143" t="s">
        <v>2</v>
      </c>
      <c r="F1616" s="144" t="s">
        <v>2243</v>
      </c>
      <c r="H1616" s="145">
        <f>((1.515+1.76+0.37+0.5+0.7+0.5+0.445)*3.44)-((1.515+1.76+0.37+0.5+0.7+0.5+0.445)*0.15+(0.615+1.76+0.37)*1.2)</f>
        <v>15.755100000000001</v>
      </c>
      <c r="O1616" s="1"/>
    </row>
    <row r="1617" spans="2:15" s="11" customFormat="1" ht="27">
      <c r="B1617" s="141"/>
      <c r="D1617" s="142" t="s">
        <v>95</v>
      </c>
      <c r="E1617" s="143" t="s">
        <v>2</v>
      </c>
      <c r="F1617" s="144" t="s">
        <v>2244</v>
      </c>
      <c r="H1617" s="145">
        <f>(0.415+0.34+1.33+0.34+0.415+0.415+0.5+1.14+0.5+0.605+1.76)*(3.44-0.15)</f>
        <v>25.5304</v>
      </c>
      <c r="O1617" s="1"/>
    </row>
    <row r="1618" spans="2:15" s="11" customFormat="1" ht="54">
      <c r="B1618" s="141"/>
      <c r="D1618" s="142" t="s">
        <v>95</v>
      </c>
      <c r="E1618" s="143" t="s">
        <v>2</v>
      </c>
      <c r="F1618" s="144" t="s">
        <v>2245</v>
      </c>
      <c r="H1618" s="145">
        <f>((1.372+0.341+1.183+0.341+0.24+0.344+1.183+0.344+1.902)+(2.44+0.148+0.1+0.148+1.885+0.03+0.775+0.03+0.185+1.22+2.365)+(0.626+0.291+1.147+0.291+4.106)+(0.882+0.341+1.156+0.341+1.224+0.341+1.156+0.341+1.224+0.341+1.156+0.341+1.224+0.341+1.156+0.341+0.772))*(3.44-0.15)</f>
        <v>117.50234999999999</v>
      </c>
      <c r="O1618" s="1"/>
    </row>
    <row r="1619" spans="2:15" s="11" customFormat="1" ht="40.9" customHeight="1">
      <c r="B1619" s="141"/>
      <c r="D1619" s="142" t="s">
        <v>95</v>
      </c>
      <c r="E1619" s="143" t="s">
        <v>2</v>
      </c>
      <c r="F1619" s="144" t="s">
        <v>2223</v>
      </c>
      <c r="H1619" s="145">
        <f>((0.7+2.02*2)*1+(1.35+2.02*2)*1+(1.41+2.44*2)*1+(1.36+2.4*2)*1+(1.09+2.29*2)*1+(1.45+2.4*2)*1+(1.42+2.39*2)*1+(1+2.02*2)*1)*0.1</f>
        <v>4.5740000000000007</v>
      </c>
      <c r="O1619" s="1"/>
    </row>
    <row r="1620" spans="2:15" s="11" customFormat="1">
      <c r="B1620" s="141"/>
      <c r="D1620" s="142" t="s">
        <v>95</v>
      </c>
      <c r="E1620" s="143" t="s">
        <v>2</v>
      </c>
      <c r="F1620" s="144" t="s">
        <v>2224</v>
      </c>
      <c r="H1620" s="145">
        <f>(((0.7+1.4*2)*2)*2)*0.4</f>
        <v>5.6000000000000005</v>
      </c>
      <c r="O1620" s="1"/>
    </row>
    <row r="1621" spans="2:15" s="11" customFormat="1">
      <c r="B1621" s="141"/>
      <c r="D1621" s="142" t="s">
        <v>95</v>
      </c>
      <c r="E1621" s="143" t="s">
        <v>2</v>
      </c>
      <c r="F1621" s="144" t="s">
        <v>2225</v>
      </c>
      <c r="H1621" s="145">
        <f>(((1+2*2)*2)*7)*0.5</f>
        <v>35</v>
      </c>
      <c r="O1621" s="1"/>
    </row>
    <row r="1622" spans="2:15" s="11" customFormat="1">
      <c r="B1622" s="141"/>
      <c r="D1622" s="142" t="s">
        <v>95</v>
      </c>
      <c r="E1622" s="143" t="s">
        <v>2</v>
      </c>
      <c r="F1622" s="144" t="s">
        <v>2226</v>
      </c>
      <c r="H1622" s="145">
        <f>6.898</f>
        <v>6.8979999999999997</v>
      </c>
      <c r="O1622" s="1"/>
    </row>
    <row r="1623" spans="2:15" s="11" customFormat="1">
      <c r="B1623" s="141"/>
      <c r="D1623" s="142" t="s">
        <v>95</v>
      </c>
      <c r="E1623" s="143" t="s">
        <v>2</v>
      </c>
      <c r="F1623" s="144" t="s">
        <v>2227</v>
      </c>
      <c r="H1623" s="145">
        <f>4.074</f>
        <v>4.0739999999999998</v>
      </c>
      <c r="O1623" s="1"/>
    </row>
    <row r="1624" spans="2:15" s="11" customFormat="1">
      <c r="B1624" s="141"/>
      <c r="D1624" s="142" t="s">
        <v>95</v>
      </c>
      <c r="E1624" s="143" t="s">
        <v>2</v>
      </c>
      <c r="F1624" s="144" t="s">
        <v>2228</v>
      </c>
      <c r="H1624" s="145">
        <f>1.395</f>
        <v>1.395</v>
      </c>
      <c r="O1624" s="1"/>
    </row>
    <row r="1625" spans="2:15" s="11" customFormat="1">
      <c r="B1625" s="141"/>
      <c r="D1625" s="142" t="s">
        <v>95</v>
      </c>
      <c r="E1625" s="143" t="s">
        <v>2</v>
      </c>
      <c r="F1625" s="144" t="s">
        <v>2229</v>
      </c>
      <c r="H1625" s="145">
        <f>4.245</f>
        <v>4.2450000000000001</v>
      </c>
      <c r="O1625" s="1"/>
    </row>
    <row r="1626" spans="2:15" s="11" customFormat="1">
      <c r="B1626" s="141"/>
      <c r="D1626" s="142" t="s">
        <v>95</v>
      </c>
      <c r="E1626" s="143" t="s">
        <v>2</v>
      </c>
      <c r="F1626" s="144" t="s">
        <v>2230</v>
      </c>
      <c r="H1626" s="145">
        <f>14.712</f>
        <v>14.712</v>
      </c>
      <c r="O1626" s="1"/>
    </row>
    <row r="1627" spans="2:15" s="11" customFormat="1">
      <c r="B1627" s="141"/>
      <c r="D1627" s="142" t="s">
        <v>95</v>
      </c>
      <c r="E1627" s="143" t="s">
        <v>2</v>
      </c>
      <c r="F1627" s="144" t="s">
        <v>2231</v>
      </c>
      <c r="H1627" s="145">
        <f>2.406</f>
        <v>2.4060000000000001</v>
      </c>
      <c r="O1627" s="1"/>
    </row>
    <row r="1628" spans="2:15" s="11" customFormat="1">
      <c r="B1628" s="141"/>
      <c r="D1628" s="142" t="s">
        <v>95</v>
      </c>
      <c r="E1628" s="143" t="s">
        <v>2</v>
      </c>
      <c r="F1628" s="144" t="s">
        <v>2232</v>
      </c>
      <c r="H1628" s="145">
        <f>3.122</f>
        <v>3.1219999999999999</v>
      </c>
      <c r="O1628" s="1"/>
    </row>
    <row r="1629" spans="2:15" s="11" customFormat="1">
      <c r="B1629" s="141"/>
      <c r="D1629" s="142" t="s">
        <v>95</v>
      </c>
      <c r="E1629" s="143" t="s">
        <v>2</v>
      </c>
      <c r="F1629" s="144" t="s">
        <v>2233</v>
      </c>
      <c r="H1629" s="145">
        <f>7.503</f>
        <v>7.5030000000000001</v>
      </c>
      <c r="O1629" s="1"/>
    </row>
    <row r="1630" spans="2:15" s="11" customFormat="1">
      <c r="B1630" s="141"/>
      <c r="D1630" s="142" t="s">
        <v>95</v>
      </c>
      <c r="E1630" s="143" t="s">
        <v>2</v>
      </c>
      <c r="F1630" s="144" t="s">
        <v>2234</v>
      </c>
      <c r="H1630" s="145">
        <f>2.666</f>
        <v>2.6659999999999999</v>
      </c>
      <c r="O1630" s="1"/>
    </row>
    <row r="1631" spans="2:15" s="11" customFormat="1">
      <c r="B1631" s="141"/>
      <c r="D1631" s="142" t="s">
        <v>95</v>
      </c>
      <c r="E1631" s="143" t="s">
        <v>2</v>
      </c>
      <c r="F1631" s="144" t="s">
        <v>2235</v>
      </c>
      <c r="H1631" s="145">
        <f>4.824</f>
        <v>4.8239999999999998</v>
      </c>
      <c r="O1631" s="1"/>
    </row>
    <row r="1632" spans="2:15" s="11" customFormat="1">
      <c r="B1632" s="141"/>
      <c r="D1632" s="142" t="s">
        <v>95</v>
      </c>
      <c r="E1632" s="143" t="s">
        <v>2</v>
      </c>
      <c r="F1632" s="144" t="s">
        <v>2236</v>
      </c>
      <c r="H1632" s="145">
        <f>58.645</f>
        <v>58.645000000000003</v>
      </c>
      <c r="O1632" s="1"/>
    </row>
    <row r="1633" spans="2:15" s="12" customFormat="1">
      <c r="B1633" s="146"/>
      <c r="D1633" s="142" t="s">
        <v>95</v>
      </c>
      <c r="E1633" s="342" t="s">
        <v>2</v>
      </c>
      <c r="F1633" s="343" t="s">
        <v>96</v>
      </c>
      <c r="H1633" s="149">
        <f>SUM(H1609:H1632)</f>
        <v>509.55718000000002</v>
      </c>
      <c r="O1633" s="1"/>
    </row>
    <row r="1634" spans="2:15" s="10" customFormat="1" ht="29.45" customHeight="1">
      <c r="B1634" s="128"/>
      <c r="D1634" s="129" t="s">
        <v>39</v>
      </c>
      <c r="E1634" s="133" t="s">
        <v>299</v>
      </c>
      <c r="F1634" s="133" t="s">
        <v>300</v>
      </c>
      <c r="I1634" s="23"/>
      <c r="J1634" s="134">
        <f>SUM(J1635:J1637)</f>
        <v>0</v>
      </c>
    </row>
    <row r="1635" spans="2:15" s="1" customFormat="1" ht="27">
      <c r="B1635" s="39"/>
      <c r="C1635" s="135">
        <f>C1608+1</f>
        <v>357</v>
      </c>
      <c r="D1635" s="135" t="s">
        <v>65</v>
      </c>
      <c r="E1635" s="136" t="s">
        <v>301</v>
      </c>
      <c r="F1635" s="137" t="s">
        <v>2246</v>
      </c>
      <c r="G1635" s="138" t="s">
        <v>105</v>
      </c>
      <c r="H1635" s="139">
        <f>H1637</f>
        <v>509.55700000000002</v>
      </c>
      <c r="I1635" s="90"/>
      <c r="J1635" s="140">
        <f>ROUND(I1635*H1635,2)</f>
        <v>0</v>
      </c>
      <c r="K1635" s="137"/>
    </row>
    <row r="1636" spans="2:15" s="11" customFormat="1">
      <c r="B1636" s="141"/>
      <c r="D1636" s="142" t="s">
        <v>95</v>
      </c>
      <c r="E1636" s="143" t="s">
        <v>2</v>
      </c>
      <c r="F1636" s="144" t="s">
        <v>2386</v>
      </c>
      <c r="H1636" s="145">
        <f>509.557</f>
        <v>509.55700000000002</v>
      </c>
      <c r="O1636" s="1"/>
    </row>
    <row r="1637" spans="2:15" s="12" customFormat="1">
      <c r="B1637" s="146"/>
      <c r="D1637" s="142" t="s">
        <v>95</v>
      </c>
      <c r="E1637" s="342" t="s">
        <v>2</v>
      </c>
      <c r="F1637" s="343" t="s">
        <v>96</v>
      </c>
      <c r="H1637" s="149">
        <f>SUM(H1636:H1636)</f>
        <v>509.55700000000002</v>
      </c>
      <c r="O1637" s="1"/>
    </row>
    <row r="1638" spans="2:15" s="10" customFormat="1" ht="10.9" customHeight="1">
      <c r="B1638" s="128"/>
      <c r="D1638" s="129"/>
      <c r="E1638" s="130"/>
      <c r="F1638" s="130"/>
      <c r="J1638" s="131"/>
    </row>
    <row r="1639" spans="2:15" s="1" customFormat="1" ht="6.95" customHeight="1">
      <c r="B1639" s="51"/>
      <c r="C1639" s="52"/>
      <c r="D1639" s="52"/>
      <c r="E1639" s="52"/>
      <c r="F1639" s="52"/>
      <c r="G1639" s="52"/>
      <c r="H1639" s="52"/>
      <c r="I1639" s="52"/>
      <c r="J1639" s="52"/>
      <c r="K1639" s="52"/>
    </row>
    <row r="1648" spans="2:15">
      <c r="I1648" s="87" t="s">
        <v>636</v>
      </c>
      <c r="J1648" s="88">
        <f>SUM(J102:J1637)/4</f>
        <v>0</v>
      </c>
      <c r="K1648" s="89"/>
    </row>
    <row r="1649" spans="9:11">
      <c r="I1649" s="87" t="s">
        <v>637</v>
      </c>
      <c r="J1649" s="88">
        <f>SUM(J57:J83)/3</f>
        <v>0</v>
      </c>
      <c r="K1649" s="89"/>
    </row>
    <row r="1650" spans="9:11">
      <c r="I1650" s="87" t="s">
        <v>638</v>
      </c>
      <c r="J1650" s="88">
        <f>J1648-J1649</f>
        <v>0</v>
      </c>
      <c r="K1650" s="87" t="s">
        <v>639</v>
      </c>
    </row>
    <row r="1654" spans="9:11">
      <c r="J1654" s="157"/>
    </row>
    <row r="1655" spans="9:11">
      <c r="J1655" s="158"/>
    </row>
  </sheetData>
  <sheetProtection algorithmName="SHA-512" hashValue="BOUiLqSIWnrcjhWACXPLX8XIE4jMjnDrme0cczpO+uVimoHw5QqWtySpLElbWOiPFmpFSwBK0lfuN0yvS67S5Q==" saltValue="y06z7eYazacUxg1dIWdjVg==" spinCount="100000" sheet="1" objects="1" scenarios="1"/>
  <autoFilter ref="C101:K101" xr:uid="{00000000-0009-0000-0000-000002000000}"/>
  <mergeCells count="8">
    <mergeCell ref="E92:H92"/>
    <mergeCell ref="E94:H94"/>
    <mergeCell ref="G1:H1"/>
    <mergeCell ref="E7:H7"/>
    <mergeCell ref="E9:H9"/>
    <mergeCell ref="E25:H25"/>
    <mergeCell ref="E46:H46"/>
    <mergeCell ref="E48:H48"/>
  </mergeCells>
  <conditionalFormatting sqref="I831 I837 I847 I851 I855">
    <cfRule type="cellIs" dxfId="3" priority="3" stopIfTrue="1" operator="equal">
      <formula>0</formula>
    </cfRule>
  </conditionalFormatting>
  <conditionalFormatting sqref="I843 I862 I865 I868 I874 I884 I887">
    <cfRule type="cellIs" dxfId="2" priority="29" stopIfTrue="1" operator="equal">
      <formula>0</formula>
    </cfRule>
  </conditionalFormatting>
  <conditionalFormatting sqref="I878">
    <cfRule type="cellIs" dxfId="1" priority="2" stopIfTrue="1" operator="equal">
      <formula>0</formula>
    </cfRule>
  </conditionalFormatting>
  <conditionalFormatting sqref="I881">
    <cfRule type="cellIs" dxfId="0" priority="1" stopIfTrue="1" operator="equal">
      <formula>0</formula>
    </cfRule>
  </conditionalFormatting>
  <hyperlinks>
    <hyperlink ref="F1:G1" location="C2" tooltip="Krycí list soupisu" display="1) Krycí list soupisu" xr:uid="{00000000-0004-0000-0200-000000000000}"/>
    <hyperlink ref="G1:H1" location="C54" tooltip="Rekapitulace" display="2) Rekapitulace" xr:uid="{00000000-0004-0000-0200-000001000000}"/>
    <hyperlink ref="J1" location="C104" tooltip="Soupis prací" display="3) Soupis prací" xr:uid="{00000000-0004-0000-0200-000002000000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E8ECF-3295-4A4E-91FA-27042FA5D81F}">
  <sheetPr>
    <pageSetUpPr fitToPage="1"/>
  </sheetPr>
  <dimension ref="A1:BM1354"/>
  <sheetViews>
    <sheetView showGridLines="0" view="pageBreakPreview" topLeftCell="B1" zoomScaleNormal="100" zoomScaleSheetLayoutView="100" workbookViewId="0">
      <pane ySplit="1" topLeftCell="A113" activePane="bottomLeft" state="frozen"/>
      <selection activeCell="P8" sqref="P8"/>
      <selection pane="bottomLeft" activeCell="AG127" sqref="AG127"/>
    </sheetView>
  </sheetViews>
  <sheetFormatPr defaultRowHeight="13.5"/>
  <cols>
    <col min="1" max="1" width="8.33203125" hidden="1" customWidth="1"/>
    <col min="2" max="2" width="1.6640625" customWidth="1"/>
    <col min="3" max="3" width="4.6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4.5" customWidth="1"/>
    <col min="9" max="9" width="14.83203125" customWidth="1"/>
    <col min="10" max="10" width="23.5" customWidth="1"/>
    <col min="11" max="11" width="15.5" customWidth="1"/>
    <col min="13" max="26" width="0" hidden="1" customWidth="1"/>
  </cols>
  <sheetData>
    <row r="1" spans="1:13" ht="21.75" hidden="1" customHeight="1">
      <c r="A1" s="15"/>
      <c r="B1" s="19"/>
      <c r="C1" s="19"/>
      <c r="D1" s="20" t="s">
        <v>1</v>
      </c>
      <c r="E1" s="19"/>
      <c r="F1" s="18" t="s">
        <v>308</v>
      </c>
      <c r="G1" s="424" t="s">
        <v>309</v>
      </c>
      <c r="H1" s="424"/>
      <c r="I1" s="19"/>
      <c r="J1" s="18" t="s">
        <v>310</v>
      </c>
      <c r="K1" s="20" t="s">
        <v>45</v>
      </c>
    </row>
    <row r="2" spans="1:13" ht="36.950000000000003" hidden="1" customHeight="1"/>
    <row r="3" spans="1:13" ht="6.95" customHeight="1">
      <c r="B3" s="27"/>
      <c r="C3" s="28"/>
      <c r="D3" s="28"/>
      <c r="E3" s="28"/>
      <c r="F3" s="28"/>
      <c r="G3" s="28"/>
      <c r="H3" s="28"/>
      <c r="I3" s="28"/>
      <c r="J3" s="28"/>
      <c r="K3" s="29"/>
    </row>
    <row r="4" spans="1:13" ht="36.950000000000003" customHeight="1">
      <c r="B4" s="30"/>
      <c r="D4" s="31" t="s">
        <v>46</v>
      </c>
      <c r="K4" s="32"/>
      <c r="M4" s="302"/>
    </row>
    <row r="5" spans="1:13" ht="6.95" customHeight="1">
      <c r="B5" s="30"/>
      <c r="K5" s="32"/>
    </row>
    <row r="6" spans="1:13" ht="15">
      <c r="B6" s="30"/>
      <c r="D6" s="35" t="s">
        <v>5</v>
      </c>
      <c r="K6" s="32"/>
    </row>
    <row r="7" spans="1:13" ht="22.5" customHeight="1">
      <c r="B7" s="30"/>
      <c r="E7" s="423" t="str">
        <f>'Rekapitulace stavby'!K6</f>
        <v>Realizace výtahu a rekonstrukce navazujících prostor interiéru budovy Městského úřadu Smržovka</v>
      </c>
      <c r="F7" s="370"/>
      <c r="G7" s="370"/>
      <c r="H7" s="370"/>
      <c r="K7" s="32"/>
    </row>
    <row r="8" spans="1:13" s="1" customFormat="1" ht="15">
      <c r="B8" s="39"/>
      <c r="D8" s="35" t="s">
        <v>47</v>
      </c>
      <c r="K8" s="42"/>
    </row>
    <row r="9" spans="1:13" s="1" customFormat="1" ht="36.950000000000003" customHeight="1">
      <c r="B9" s="39"/>
      <c r="E9" s="425" t="s">
        <v>810</v>
      </c>
      <c r="F9" s="426"/>
      <c r="G9" s="426"/>
      <c r="H9" s="426"/>
      <c r="K9" s="42"/>
    </row>
    <row r="10" spans="1:13" s="1" customFormat="1">
      <c r="B10" s="39"/>
      <c r="K10" s="42"/>
    </row>
    <row r="11" spans="1:13" s="1" customFormat="1" ht="14.45" customHeight="1">
      <c r="B11" s="39"/>
      <c r="D11" s="35" t="s">
        <v>6</v>
      </c>
      <c r="F11" s="36" t="s">
        <v>7</v>
      </c>
      <c r="I11" s="35" t="s">
        <v>8</v>
      </c>
      <c r="J11" s="36" t="s">
        <v>2</v>
      </c>
      <c r="K11" s="42"/>
    </row>
    <row r="12" spans="1:13" s="1" customFormat="1" ht="14.45" customHeight="1">
      <c r="B12" s="39"/>
      <c r="D12" s="35" t="s">
        <v>10</v>
      </c>
      <c r="F12" s="36" t="str">
        <f>'Rekapitulace stavby'!K8</f>
        <v>č.p. 600, st.p.č. 1/1, k.ú. Smržovka [751324]</v>
      </c>
      <c r="I12" s="35" t="s">
        <v>11</v>
      </c>
      <c r="J12" s="92">
        <f>'Rekapitulace stavby'!AN8</f>
        <v>45743</v>
      </c>
      <c r="K12" s="42"/>
    </row>
    <row r="13" spans="1:13" s="1" customFormat="1" ht="10.9" customHeight="1">
      <c r="B13" s="39"/>
      <c r="K13" s="42"/>
    </row>
    <row r="14" spans="1:13" s="1" customFormat="1" ht="14.45" customHeight="1">
      <c r="B14" s="39"/>
      <c r="D14" s="35" t="s">
        <v>12</v>
      </c>
      <c r="I14" s="35" t="s">
        <v>13</v>
      </c>
      <c r="J14" s="36" t="str">
        <f>'Rekapitulace stavby'!AN10</f>
        <v>002 62 579</v>
      </c>
      <c r="K14" s="42"/>
    </row>
    <row r="15" spans="1:13" s="1" customFormat="1" ht="18" customHeight="1">
      <c r="B15" s="39"/>
      <c r="E15" s="36" t="str">
        <f>'Rekapitulace stavby'!E11</f>
        <v>Město Smržovka, nám. T.G.Masaryka č.p. 600, Smržovka, PSČ 46851</v>
      </c>
      <c r="I15" s="35" t="s">
        <v>14</v>
      </c>
      <c r="J15" s="36" t="str">
        <f>'Rekapitulace stavby'!AN11</f>
        <v>CZ00262579</v>
      </c>
      <c r="K15" s="42"/>
    </row>
    <row r="16" spans="1:13" s="1" customFormat="1" ht="6.95" customHeight="1">
      <c r="B16" s="39"/>
      <c r="K16" s="42"/>
    </row>
    <row r="17" spans="2:11" s="1" customFormat="1" ht="14.45" customHeight="1">
      <c r="B17" s="39"/>
      <c r="D17" s="35" t="s">
        <v>15</v>
      </c>
      <c r="I17" s="35" t="s">
        <v>13</v>
      </c>
      <c r="J17" s="36"/>
      <c r="K17" s="42"/>
    </row>
    <row r="18" spans="2:11" s="1" customFormat="1" ht="18" customHeight="1">
      <c r="B18" s="39"/>
      <c r="E18" s="36" t="str">
        <f>IF('Rekapitulace stavby'!E14="Vyplň údaj","",IF('Rekapitulace stavby'!E14="","",'Rekapitulace stavby'!E14))</f>
        <v xml:space="preserve"> </v>
      </c>
      <c r="I18" s="35" t="s">
        <v>14</v>
      </c>
      <c r="J18" s="36" t="str">
        <f>IF('Rekapitulace stavby'!AN14="Vyplň údaj","",IF('Rekapitulace stavby'!AN14="","",'Rekapitulace stavby'!AN14))</f>
        <v/>
      </c>
      <c r="K18" s="42"/>
    </row>
    <row r="19" spans="2:11" s="1" customFormat="1" ht="6.95" customHeight="1">
      <c r="B19" s="39"/>
      <c r="K19" s="42"/>
    </row>
    <row r="20" spans="2:11" s="1" customFormat="1" ht="14.45" customHeight="1">
      <c r="B20" s="39"/>
      <c r="D20" s="35" t="s">
        <v>17</v>
      </c>
      <c r="I20" s="35" t="s">
        <v>13</v>
      </c>
      <c r="J20" s="36" t="str">
        <f>'Rekapitulace stavby'!AN16</f>
        <v>120 45 357</v>
      </c>
      <c r="K20" s="42"/>
    </row>
    <row r="21" spans="2:11" s="1" customFormat="1" ht="18" customHeight="1">
      <c r="B21" s="39"/>
      <c r="E21" s="36" t="str">
        <f>'Rekapitulace stavby'!E17</f>
        <v>LHOTA - STAVITELSTVÍ</v>
      </c>
      <c r="I21" s="35" t="s">
        <v>14</v>
      </c>
      <c r="J21" s="36" t="s">
        <v>2</v>
      </c>
      <c r="K21" s="42"/>
    </row>
    <row r="22" spans="2:11" s="1" customFormat="1" ht="15">
      <c r="B22" s="39"/>
      <c r="E22" s="36" t="str">
        <f>'Rekapitulace stavby'!E18</f>
        <v>sdružení osob Bohumil Lhota a Ing. Vít Lhota, sídlo: Zásada 311, PSČ 46825</v>
      </c>
      <c r="I22" s="35"/>
      <c r="J22" s="36"/>
      <c r="K22" s="42"/>
    </row>
    <row r="23" spans="2:11" s="1" customFormat="1" ht="15">
      <c r="B23" s="39"/>
      <c r="E23" s="36" t="str">
        <f>'Rekapitulace stavby'!E19</f>
        <v>ateliér: Smetanova 1809/82, Jablonec nad Nisou, PSČ 46601</v>
      </c>
      <c r="K23" s="42"/>
    </row>
    <row r="24" spans="2:11" s="1" customFormat="1" ht="14.45" customHeight="1">
      <c r="B24" s="39"/>
      <c r="D24" s="35" t="s">
        <v>18</v>
      </c>
      <c r="K24" s="42"/>
    </row>
    <row r="25" spans="2:11" s="6" customFormat="1" ht="22.5" customHeight="1">
      <c r="B25" s="93"/>
      <c r="E25" s="371" t="str">
        <f>'Rekapitulace stavby'!E21:AN21</f>
        <v>Provedeno na základě předložené dokumentace "DSJ".</v>
      </c>
      <c r="F25" s="427"/>
      <c r="G25" s="427"/>
      <c r="H25" s="427"/>
      <c r="K25" s="94"/>
    </row>
    <row r="26" spans="2:11" s="1" customFormat="1" ht="6.95" customHeight="1">
      <c r="B26" s="39"/>
      <c r="K26" s="42"/>
    </row>
    <row r="27" spans="2:11" s="1" customFormat="1" ht="6.95" customHeight="1">
      <c r="B27" s="39"/>
      <c r="D27" s="61"/>
      <c r="E27" s="61"/>
      <c r="F27" s="61"/>
      <c r="G27" s="61"/>
      <c r="H27" s="61"/>
      <c r="I27" s="61"/>
      <c r="J27" s="61"/>
      <c r="K27" s="95"/>
    </row>
    <row r="28" spans="2:11" s="1" customFormat="1" ht="25.35" customHeight="1">
      <c r="B28" s="39"/>
      <c r="D28" s="96" t="s">
        <v>19</v>
      </c>
      <c r="J28" s="97">
        <f>ROUND(J103,2)</f>
        <v>0</v>
      </c>
      <c r="K28" s="42"/>
    </row>
    <row r="29" spans="2:11" s="1" customFormat="1" ht="6.95" customHeight="1">
      <c r="B29" s="39"/>
      <c r="D29" s="61"/>
      <c r="E29" s="61"/>
      <c r="F29" s="61"/>
      <c r="G29" s="61"/>
      <c r="H29" s="61"/>
      <c r="I29" s="61"/>
      <c r="J29" s="61"/>
      <c r="K29" s="95"/>
    </row>
    <row r="30" spans="2:11" s="1" customFormat="1" ht="14.45" customHeight="1">
      <c r="B30" s="39"/>
      <c r="F30" s="98" t="s">
        <v>21</v>
      </c>
      <c r="I30" s="98" t="s">
        <v>20</v>
      </c>
      <c r="J30" s="98" t="s">
        <v>22</v>
      </c>
      <c r="K30" s="42"/>
    </row>
    <row r="31" spans="2:11" s="1" customFormat="1" ht="14.45" customHeight="1">
      <c r="B31" s="39"/>
      <c r="D31" s="44" t="s">
        <v>23</v>
      </c>
      <c r="E31" s="44" t="s">
        <v>24</v>
      </c>
      <c r="F31" s="99">
        <f>ROUND(SUM(J28), 2)</f>
        <v>0</v>
      </c>
      <c r="I31" s="100">
        <v>0.21</v>
      </c>
      <c r="J31" s="99">
        <f>ROUND(ROUND((SUM(F31)), 2)*I31, 2)</f>
        <v>0</v>
      </c>
      <c r="K31" s="42"/>
    </row>
    <row r="32" spans="2:11" s="1" customFormat="1" ht="14.45" customHeight="1">
      <c r="B32" s="39"/>
      <c r="E32" s="44" t="s">
        <v>25</v>
      </c>
      <c r="F32" s="99">
        <v>0</v>
      </c>
      <c r="I32" s="100">
        <v>0.15</v>
      </c>
      <c r="J32" s="99">
        <f>ROUND(ROUND((SUM(F32)), 2)*I32, 2)</f>
        <v>0</v>
      </c>
      <c r="K32" s="42"/>
    </row>
    <row r="33" spans="2:11" s="1" customFormat="1" ht="14.45" hidden="1" customHeight="1">
      <c r="B33" s="39"/>
      <c r="E33" s="44" t="s">
        <v>26</v>
      </c>
      <c r="F33" s="99" t="e">
        <f>ROUND(SUM(#REF!), 2)</f>
        <v>#REF!</v>
      </c>
      <c r="I33" s="100">
        <v>0.21</v>
      </c>
      <c r="J33" s="99">
        <v>0</v>
      </c>
      <c r="K33" s="42"/>
    </row>
    <row r="34" spans="2:11" s="1" customFormat="1" ht="14.45" hidden="1" customHeight="1">
      <c r="B34" s="39"/>
      <c r="E34" s="44" t="s">
        <v>27</v>
      </c>
      <c r="F34" s="99" t="e">
        <f>ROUND(SUM(#REF!), 2)</f>
        <v>#REF!</v>
      </c>
      <c r="I34" s="100">
        <v>0.15</v>
      </c>
      <c r="J34" s="99">
        <v>0</v>
      </c>
      <c r="K34" s="42"/>
    </row>
    <row r="35" spans="2:11" s="1" customFormat="1" ht="14.45" hidden="1" customHeight="1">
      <c r="B35" s="39"/>
      <c r="E35" s="44" t="s">
        <v>28</v>
      </c>
      <c r="F35" s="99" t="e">
        <f>ROUND(SUM(#REF!), 2)</f>
        <v>#REF!</v>
      </c>
      <c r="I35" s="100">
        <v>0</v>
      </c>
      <c r="J35" s="99">
        <v>0</v>
      </c>
      <c r="K35" s="42"/>
    </row>
    <row r="36" spans="2:11" s="1" customFormat="1" ht="6.95" customHeight="1">
      <c r="B36" s="39"/>
      <c r="K36" s="42"/>
    </row>
    <row r="37" spans="2:11" s="1" customFormat="1" ht="25.35" customHeight="1">
      <c r="B37" s="39"/>
      <c r="C37" s="101"/>
      <c r="D37" s="102" t="s">
        <v>29</v>
      </c>
      <c r="E37" s="62"/>
      <c r="F37" s="62"/>
      <c r="G37" s="103" t="s">
        <v>30</v>
      </c>
      <c r="H37" s="104" t="s">
        <v>31</v>
      </c>
      <c r="I37" s="62"/>
      <c r="J37" s="105">
        <f>SUM(J28:J35)</f>
        <v>0</v>
      </c>
      <c r="K37" s="106"/>
    </row>
    <row r="38" spans="2:11" s="1" customFormat="1" ht="14.45" customHeight="1">
      <c r="B38" s="51"/>
      <c r="C38" s="52"/>
      <c r="D38" s="52"/>
      <c r="E38" s="52"/>
      <c r="F38" s="52"/>
      <c r="G38" s="52"/>
      <c r="H38" s="52"/>
      <c r="I38" s="52"/>
      <c r="J38" s="52"/>
      <c r="K38" s="53"/>
    </row>
    <row r="42" spans="2:11" s="1" customFormat="1" ht="6.95" customHeight="1">
      <c r="B42" s="54"/>
      <c r="C42" s="55"/>
      <c r="D42" s="55"/>
      <c r="E42" s="55"/>
      <c r="F42" s="55"/>
      <c r="G42" s="55"/>
      <c r="H42" s="55"/>
      <c r="I42" s="55"/>
      <c r="J42" s="55"/>
      <c r="K42" s="107"/>
    </row>
    <row r="43" spans="2:11" s="1" customFormat="1" ht="36.950000000000003" customHeight="1">
      <c r="B43" s="39"/>
      <c r="C43" s="31" t="s">
        <v>48</v>
      </c>
      <c r="K43" s="42"/>
    </row>
    <row r="44" spans="2:11" s="1" customFormat="1" ht="6.95" customHeight="1">
      <c r="B44" s="39"/>
      <c r="K44" s="42"/>
    </row>
    <row r="45" spans="2:11" s="1" customFormat="1" ht="14.45" customHeight="1">
      <c r="B45" s="39"/>
      <c r="C45" s="35" t="s">
        <v>5</v>
      </c>
      <c r="K45" s="42"/>
    </row>
    <row r="46" spans="2:11" s="1" customFormat="1" ht="22.5" customHeight="1">
      <c r="B46" s="39"/>
      <c r="E46" s="423" t="str">
        <f>E7</f>
        <v>Realizace výtahu a rekonstrukce navazujících prostor interiéru budovy Městského úřadu Smržovka</v>
      </c>
      <c r="F46" s="375"/>
      <c r="G46" s="375"/>
      <c r="H46" s="375"/>
      <c r="K46" s="42"/>
    </row>
    <row r="47" spans="2:11" s="1" customFormat="1" ht="14.45" customHeight="1">
      <c r="B47" s="39"/>
      <c r="C47" s="35" t="s">
        <v>47</v>
      </c>
      <c r="K47" s="42"/>
    </row>
    <row r="48" spans="2:11" s="1" customFormat="1" ht="23.25" customHeight="1">
      <c r="B48" s="39"/>
      <c r="E48" s="382" t="str">
        <f>E9</f>
        <v>SO 02 - Přístavba ke stávajícímu objektu stavby občanského vybavení č.p. 600</v>
      </c>
      <c r="F48" s="375"/>
      <c r="G48" s="375"/>
      <c r="H48" s="375"/>
      <c r="K48" s="42"/>
    </row>
    <row r="49" spans="2:15" s="1" customFormat="1" ht="6.95" customHeight="1">
      <c r="B49" s="39"/>
      <c r="K49" s="42"/>
    </row>
    <row r="50" spans="2:15" s="1" customFormat="1" ht="18" customHeight="1">
      <c r="B50" s="39"/>
      <c r="C50" s="35" t="s">
        <v>10</v>
      </c>
      <c r="F50" s="36" t="str">
        <f>F12</f>
        <v>č.p. 600, st.p.č. 1/1, k.ú. Smržovka [751324]</v>
      </c>
      <c r="I50" s="35" t="s">
        <v>11</v>
      </c>
      <c r="J50" s="92">
        <f>IF(J12="","",J12)</f>
        <v>45743</v>
      </c>
      <c r="K50" s="42"/>
    </row>
    <row r="51" spans="2:15" s="1" customFormat="1" ht="6.95" customHeight="1">
      <c r="B51" s="39"/>
      <c r="K51" s="42"/>
    </row>
    <row r="52" spans="2:15" s="1" customFormat="1" ht="15">
      <c r="B52" s="39"/>
      <c r="C52" s="35" t="s">
        <v>12</v>
      </c>
      <c r="F52" s="36" t="str">
        <f>E15</f>
        <v>Město Smržovka, nám. T.G.Masaryka č.p. 600, Smržovka, PSČ 46851</v>
      </c>
      <c r="I52" s="35" t="s">
        <v>17</v>
      </c>
      <c r="J52" s="36" t="str">
        <f>E21</f>
        <v>LHOTA - STAVITELSTVÍ</v>
      </c>
      <c r="K52" s="42"/>
    </row>
    <row r="53" spans="2:15" s="1" customFormat="1" ht="14.45" customHeight="1">
      <c r="B53" s="39"/>
      <c r="C53" s="35" t="s">
        <v>15</v>
      </c>
      <c r="F53" s="36" t="str">
        <f>IF(E18="","",E18)</f>
        <v xml:space="preserve"> </v>
      </c>
      <c r="K53" s="42"/>
    </row>
    <row r="54" spans="2:15" s="1" customFormat="1" ht="10.35" customHeight="1">
      <c r="B54" s="39"/>
      <c r="K54" s="42"/>
    </row>
    <row r="55" spans="2:15" s="1" customFormat="1" ht="29.25" customHeight="1">
      <c r="B55" s="39"/>
      <c r="C55" s="108" t="s">
        <v>49</v>
      </c>
      <c r="D55" s="101"/>
      <c r="E55" s="101"/>
      <c r="F55" s="101"/>
      <c r="G55" s="101"/>
      <c r="H55" s="101"/>
      <c r="I55" s="101"/>
      <c r="J55" s="109" t="s">
        <v>50</v>
      </c>
      <c r="K55" s="110"/>
    </row>
    <row r="56" spans="2:15" s="1" customFormat="1" ht="10.35" customHeight="1">
      <c r="B56" s="39"/>
      <c r="K56" s="42"/>
    </row>
    <row r="57" spans="2:15" s="1" customFormat="1" ht="29.25" customHeight="1">
      <c r="B57" s="39"/>
      <c r="C57" s="111" t="s">
        <v>51</v>
      </c>
      <c r="J57" s="97">
        <f>J103</f>
        <v>0</v>
      </c>
      <c r="K57" s="42"/>
    </row>
    <row r="58" spans="2:15" s="7" customFormat="1" ht="24.95" customHeight="1">
      <c r="B58" s="112"/>
      <c r="D58" s="113" t="s">
        <v>52</v>
      </c>
      <c r="E58" s="114"/>
      <c r="F58" s="114"/>
      <c r="G58" s="114"/>
      <c r="H58" s="114"/>
      <c r="I58" s="114"/>
      <c r="J58" s="115">
        <f>J104</f>
        <v>0</v>
      </c>
      <c r="K58" s="116"/>
      <c r="O58" s="159"/>
    </row>
    <row r="59" spans="2:15" s="8" customFormat="1" ht="19.899999999999999" customHeight="1">
      <c r="B59" s="117"/>
      <c r="D59" s="118" t="s">
        <v>68</v>
      </c>
      <c r="E59" s="119"/>
      <c r="F59" s="119"/>
      <c r="G59" s="119"/>
      <c r="H59" s="119"/>
      <c r="I59" s="119"/>
      <c r="J59" s="120">
        <f>J105</f>
        <v>0</v>
      </c>
      <c r="K59" s="121"/>
      <c r="O59" s="308"/>
    </row>
    <row r="60" spans="2:15" s="8" customFormat="1" ht="19.899999999999999" customHeight="1">
      <c r="B60" s="117"/>
      <c r="D60" s="118" t="s">
        <v>69</v>
      </c>
      <c r="E60" s="119"/>
      <c r="F60" s="119"/>
      <c r="G60" s="119"/>
      <c r="H60" s="119"/>
      <c r="I60" s="119"/>
      <c r="J60" s="120">
        <f>J159</f>
        <v>0</v>
      </c>
      <c r="K60" s="121"/>
      <c r="O60" s="308"/>
    </row>
    <row r="61" spans="2:15" s="8" customFormat="1" ht="19.899999999999999" customHeight="1">
      <c r="B61" s="117"/>
      <c r="D61" s="118" t="s">
        <v>70</v>
      </c>
      <c r="E61" s="119"/>
      <c r="F61" s="119"/>
      <c r="G61" s="119"/>
      <c r="H61" s="119"/>
      <c r="I61" s="119"/>
      <c r="J61" s="120">
        <f>J212</f>
        <v>0</v>
      </c>
      <c r="K61" s="121"/>
      <c r="O61" s="308"/>
    </row>
    <row r="62" spans="2:15" s="8" customFormat="1" ht="19.899999999999999" customHeight="1">
      <c r="B62" s="117"/>
      <c r="D62" s="118" t="s">
        <v>71</v>
      </c>
      <c r="E62" s="119"/>
      <c r="F62" s="119"/>
      <c r="G62" s="119"/>
      <c r="H62" s="119"/>
      <c r="I62" s="119"/>
      <c r="J62" s="120">
        <f>J239</f>
        <v>0</v>
      </c>
      <c r="K62" s="121"/>
      <c r="O62" s="308"/>
    </row>
    <row r="63" spans="2:15" s="8" customFormat="1" ht="19.899999999999999" customHeight="1">
      <c r="B63" s="117"/>
      <c r="D63" s="118" t="s">
        <v>72</v>
      </c>
      <c r="E63" s="119"/>
      <c r="F63" s="119"/>
      <c r="G63" s="119"/>
      <c r="H63" s="119"/>
      <c r="I63" s="119"/>
      <c r="J63" s="120">
        <f>J328</f>
        <v>0</v>
      </c>
      <c r="K63" s="121"/>
      <c r="O63" s="308"/>
    </row>
    <row r="64" spans="2:15" s="8" customFormat="1" ht="19.899999999999999" customHeight="1">
      <c r="B64" s="117"/>
      <c r="D64" s="118" t="s">
        <v>73</v>
      </c>
      <c r="E64" s="119"/>
      <c r="F64" s="119"/>
      <c r="G64" s="119"/>
      <c r="H64" s="119"/>
      <c r="I64" s="119"/>
      <c r="J64" s="120">
        <f>J457</f>
        <v>0</v>
      </c>
      <c r="K64" s="121"/>
      <c r="O64" s="308"/>
    </row>
    <row r="65" spans="2:15" s="8" customFormat="1" ht="19.899999999999999" customHeight="1">
      <c r="B65" s="117"/>
      <c r="D65" s="118" t="s">
        <v>74</v>
      </c>
      <c r="E65" s="119"/>
      <c r="F65" s="119"/>
      <c r="G65" s="119"/>
      <c r="H65" s="119"/>
      <c r="I65" s="119"/>
      <c r="J65" s="120">
        <f>J580</f>
        <v>0</v>
      </c>
      <c r="K65" s="121"/>
      <c r="O65" s="308"/>
    </row>
    <row r="66" spans="2:15" s="7" customFormat="1" ht="24.95" customHeight="1">
      <c r="B66" s="112"/>
      <c r="D66" s="113" t="s">
        <v>75</v>
      </c>
      <c r="E66" s="114"/>
      <c r="F66" s="114"/>
      <c r="G66" s="114"/>
      <c r="H66" s="114"/>
      <c r="I66" s="114"/>
      <c r="J66" s="115">
        <f>J584</f>
        <v>0</v>
      </c>
      <c r="K66" s="116"/>
      <c r="O66" s="159"/>
    </row>
    <row r="67" spans="2:15" s="8" customFormat="1" ht="19.899999999999999" customHeight="1">
      <c r="B67" s="117"/>
      <c r="D67" s="118" t="s">
        <v>76</v>
      </c>
      <c r="E67" s="119"/>
      <c r="F67" s="119"/>
      <c r="G67" s="119"/>
      <c r="H67" s="119"/>
      <c r="I67" s="119"/>
      <c r="J67" s="120">
        <f>J585</f>
        <v>0</v>
      </c>
      <c r="K67" s="121"/>
      <c r="O67" s="308"/>
    </row>
    <row r="68" spans="2:15" s="8" customFormat="1" ht="19.899999999999999" customHeight="1">
      <c r="B68" s="117"/>
      <c r="D68" s="118" t="s">
        <v>1095</v>
      </c>
      <c r="E68" s="119"/>
      <c r="F68" s="119"/>
      <c r="G68" s="119"/>
      <c r="H68" s="119"/>
      <c r="I68" s="119"/>
      <c r="J68" s="120">
        <f>J611</f>
        <v>0</v>
      </c>
      <c r="K68" s="121"/>
      <c r="O68" s="308"/>
    </row>
    <row r="69" spans="2:15" s="8" customFormat="1" ht="19.899999999999999" customHeight="1">
      <c r="B69" s="117"/>
      <c r="D69" s="118" t="s">
        <v>77</v>
      </c>
      <c r="E69" s="119"/>
      <c r="F69" s="119"/>
      <c r="G69" s="119"/>
      <c r="H69" s="119"/>
      <c r="I69" s="119"/>
      <c r="J69" s="120">
        <f>J629</f>
        <v>0</v>
      </c>
      <c r="K69" s="121"/>
      <c r="O69" s="308"/>
    </row>
    <row r="70" spans="2:15" s="8" customFormat="1" ht="19.899999999999999" customHeight="1">
      <c r="B70" s="117"/>
      <c r="D70" s="118" t="s">
        <v>78</v>
      </c>
      <c r="E70" s="119"/>
      <c r="F70" s="119"/>
      <c r="G70" s="119"/>
      <c r="H70" s="119"/>
      <c r="I70" s="119"/>
      <c r="J70" s="120">
        <f>J647</f>
        <v>0</v>
      </c>
      <c r="K70" s="121"/>
      <c r="O70" s="308"/>
    </row>
    <row r="71" spans="2:15" s="8" customFormat="1" ht="19.899999999999999" customHeight="1">
      <c r="B71" s="117"/>
      <c r="D71" s="118" t="s">
        <v>79</v>
      </c>
      <c r="E71" s="119"/>
      <c r="F71" s="119"/>
      <c r="G71" s="119"/>
      <c r="H71" s="119"/>
      <c r="I71" s="119"/>
      <c r="J71" s="120">
        <f>J714</f>
        <v>0</v>
      </c>
      <c r="K71" s="121"/>
      <c r="O71" s="308"/>
    </row>
    <row r="72" spans="2:15" s="8" customFormat="1" ht="19.899999999999999" customHeight="1">
      <c r="B72" s="117"/>
      <c r="D72" s="118" t="s">
        <v>573</v>
      </c>
      <c r="E72" s="119"/>
      <c r="F72" s="119"/>
      <c r="G72" s="119"/>
      <c r="H72" s="119"/>
      <c r="I72" s="119"/>
      <c r="J72" s="120">
        <f>J715</f>
        <v>0</v>
      </c>
      <c r="K72" s="121"/>
      <c r="O72" s="308"/>
    </row>
    <row r="73" spans="2:15" s="8" customFormat="1" ht="19.899999999999999" customHeight="1">
      <c r="B73" s="117"/>
      <c r="D73" s="118" t="s">
        <v>1247</v>
      </c>
      <c r="E73" s="119"/>
      <c r="F73" s="119"/>
      <c r="G73" s="119"/>
      <c r="H73" s="119"/>
      <c r="I73" s="119"/>
      <c r="J73" s="120">
        <f>J1017</f>
        <v>0</v>
      </c>
      <c r="K73" s="121"/>
      <c r="O73" s="308"/>
    </row>
    <row r="74" spans="2:15" s="8" customFormat="1" ht="19.899999999999999" customHeight="1">
      <c r="B74" s="117"/>
      <c r="D74" s="118" t="s">
        <v>81</v>
      </c>
      <c r="E74" s="119"/>
      <c r="F74" s="119"/>
      <c r="G74" s="119"/>
      <c r="H74" s="119"/>
      <c r="I74" s="119"/>
      <c r="J74" s="120">
        <f>J1059</f>
        <v>0</v>
      </c>
      <c r="K74" s="121"/>
      <c r="O74" s="308"/>
    </row>
    <row r="75" spans="2:15" s="8" customFormat="1" ht="19.899999999999999" customHeight="1">
      <c r="B75" s="117"/>
      <c r="D75" s="118" t="s">
        <v>82</v>
      </c>
      <c r="E75" s="119"/>
      <c r="F75" s="119"/>
      <c r="G75" s="119"/>
      <c r="H75" s="119"/>
      <c r="I75" s="119"/>
      <c r="J75" s="120">
        <f>J1108</f>
        <v>0</v>
      </c>
      <c r="K75" s="121"/>
      <c r="O75" s="308"/>
    </row>
    <row r="76" spans="2:15" s="8" customFormat="1" ht="19.899999999999999" customHeight="1">
      <c r="B76" s="117"/>
      <c r="D76" s="118" t="s">
        <v>83</v>
      </c>
      <c r="E76" s="119"/>
      <c r="F76" s="119"/>
      <c r="G76" s="119"/>
      <c r="H76" s="119"/>
      <c r="I76" s="119"/>
      <c r="J76" s="120">
        <f>J1122</f>
        <v>0</v>
      </c>
      <c r="K76" s="121"/>
      <c r="O76" s="308"/>
    </row>
    <row r="77" spans="2:15" s="8" customFormat="1" ht="19.899999999999999" customHeight="1">
      <c r="B77" s="117"/>
      <c r="D77" s="118" t="s">
        <v>84</v>
      </c>
      <c r="E77" s="119"/>
      <c r="F77" s="119"/>
      <c r="G77" s="119"/>
      <c r="H77" s="119"/>
      <c r="I77" s="119"/>
      <c r="J77" s="120">
        <f>J1158</f>
        <v>0</v>
      </c>
      <c r="K77" s="121"/>
      <c r="O77" s="308"/>
    </row>
    <row r="78" spans="2:15" s="8" customFormat="1" ht="19.899999999999999" customHeight="1">
      <c r="B78" s="117"/>
      <c r="D78" s="118" t="s">
        <v>85</v>
      </c>
      <c r="E78" s="119"/>
      <c r="F78" s="119"/>
      <c r="G78" s="119"/>
      <c r="H78" s="119"/>
      <c r="I78" s="119"/>
      <c r="J78" s="120">
        <f>J1193</f>
        <v>0</v>
      </c>
      <c r="K78" s="121"/>
      <c r="O78" s="308"/>
    </row>
    <row r="79" spans="2:15" s="8" customFormat="1" ht="19.899999999999999" customHeight="1">
      <c r="B79" s="117"/>
      <c r="D79" s="118" t="s">
        <v>86</v>
      </c>
      <c r="E79" s="119"/>
      <c r="F79" s="119"/>
      <c r="G79" s="119"/>
      <c r="H79" s="119"/>
      <c r="I79" s="119"/>
      <c r="J79" s="120">
        <f>J1208</f>
        <v>0</v>
      </c>
      <c r="K79" s="121"/>
      <c r="O79" s="308"/>
    </row>
    <row r="80" spans="2:15" s="8" customFormat="1" ht="19.899999999999999" customHeight="1">
      <c r="B80" s="117"/>
      <c r="D80" s="118" t="s">
        <v>87</v>
      </c>
      <c r="E80" s="119"/>
      <c r="F80" s="119"/>
      <c r="G80" s="119"/>
      <c r="H80" s="119"/>
      <c r="I80" s="119"/>
      <c r="J80" s="120">
        <f>J1246</f>
        <v>0</v>
      </c>
      <c r="K80" s="121"/>
      <c r="O80" s="308"/>
    </row>
    <row r="81" spans="2:15" s="8" customFormat="1" ht="19.899999999999999" customHeight="1">
      <c r="B81" s="117"/>
      <c r="D81" s="118" t="s">
        <v>88</v>
      </c>
      <c r="E81" s="119"/>
      <c r="F81" s="119"/>
      <c r="G81" s="119"/>
      <c r="H81" s="119"/>
      <c r="I81" s="119"/>
      <c r="J81" s="120">
        <f>J1260</f>
        <v>0</v>
      </c>
      <c r="K81" s="121"/>
      <c r="O81" s="308"/>
    </row>
    <row r="82" spans="2:15" s="8" customFormat="1" ht="19.899999999999999" customHeight="1">
      <c r="B82" s="117"/>
      <c r="D82" s="118" t="s">
        <v>89</v>
      </c>
      <c r="E82" s="119"/>
      <c r="F82" s="119"/>
      <c r="G82" s="119"/>
      <c r="H82" s="119"/>
      <c r="I82" s="119"/>
      <c r="J82" s="120">
        <f>J1316</f>
        <v>0</v>
      </c>
      <c r="K82" s="121"/>
      <c r="O82" s="308"/>
    </row>
    <row r="83" spans="2:15" s="8" customFormat="1" ht="19.899999999999999" customHeight="1">
      <c r="B83" s="117"/>
      <c r="D83" s="118" t="s">
        <v>90</v>
      </c>
      <c r="E83" s="119"/>
      <c r="F83" s="119"/>
      <c r="G83" s="119"/>
      <c r="H83" s="119"/>
      <c r="I83" s="119"/>
      <c r="J83" s="120">
        <f>J1333</f>
        <v>0</v>
      </c>
      <c r="K83" s="121"/>
      <c r="O83" s="308"/>
    </row>
    <row r="84" spans="2:15" s="1" customFormat="1" ht="21.75" customHeight="1">
      <c r="B84" s="39"/>
      <c r="J84" s="328"/>
      <c r="K84" s="42"/>
    </row>
    <row r="85" spans="2:15" s="1" customFormat="1" ht="6.95" customHeight="1">
      <c r="B85" s="51"/>
      <c r="C85" s="52"/>
      <c r="D85" s="52"/>
      <c r="E85" s="52"/>
      <c r="F85" s="52"/>
      <c r="G85" s="52"/>
      <c r="H85" s="52"/>
      <c r="I85" s="52"/>
      <c r="J85" s="52"/>
      <c r="K85" s="53"/>
    </row>
    <row r="89" spans="2:15" s="1" customFormat="1" ht="6.95" customHeight="1">
      <c r="B89" s="54"/>
      <c r="C89" s="55"/>
      <c r="D89" s="55"/>
      <c r="E89" s="55"/>
      <c r="F89" s="55"/>
      <c r="G89" s="55"/>
      <c r="H89" s="55"/>
      <c r="I89" s="55"/>
      <c r="J89" s="55"/>
      <c r="K89" s="55"/>
    </row>
    <row r="90" spans="2:15" s="1" customFormat="1" ht="36.950000000000003" customHeight="1">
      <c r="B90" s="39"/>
      <c r="C90" s="31" t="s">
        <v>54</v>
      </c>
    </row>
    <row r="91" spans="2:15" s="1" customFormat="1" ht="6.95" customHeight="1">
      <c r="B91" s="39"/>
    </row>
    <row r="92" spans="2:15" s="1" customFormat="1" ht="14.45" customHeight="1">
      <c r="B92" s="39"/>
      <c r="C92" s="35" t="s">
        <v>5</v>
      </c>
    </row>
    <row r="93" spans="2:15" s="1" customFormat="1" ht="22.5" customHeight="1">
      <c r="B93" s="39"/>
      <c r="E93" s="423" t="str">
        <f>E7</f>
        <v>Realizace výtahu a rekonstrukce navazujících prostor interiéru budovy Městského úřadu Smržovka</v>
      </c>
      <c r="F93" s="375"/>
      <c r="G93" s="375"/>
      <c r="H93" s="375"/>
    </row>
    <row r="94" spans="2:15" s="1" customFormat="1" ht="14.45" customHeight="1">
      <c r="B94" s="39"/>
      <c r="C94" s="35" t="s">
        <v>47</v>
      </c>
    </row>
    <row r="95" spans="2:15" s="1" customFormat="1" ht="23.25" customHeight="1">
      <c r="B95" s="39"/>
      <c r="E95" s="382" t="str">
        <f>E9</f>
        <v>SO 02 - Přístavba ke stávajícímu objektu stavby občanského vybavení č.p. 600</v>
      </c>
      <c r="F95" s="375"/>
      <c r="G95" s="375"/>
      <c r="H95" s="375"/>
    </row>
    <row r="96" spans="2:15" s="1" customFormat="1" ht="6.95" customHeight="1">
      <c r="B96" s="39"/>
    </row>
    <row r="97" spans="2:15" s="1" customFormat="1" ht="18" customHeight="1">
      <c r="B97" s="39"/>
      <c r="C97" s="35" t="s">
        <v>10</v>
      </c>
      <c r="F97" s="36" t="str">
        <f>F12</f>
        <v>č.p. 600, st.p.č. 1/1, k.ú. Smržovka [751324]</v>
      </c>
      <c r="I97" s="35" t="s">
        <v>11</v>
      </c>
      <c r="J97" s="92">
        <f>IF(J12="","",J12)</f>
        <v>45743</v>
      </c>
    </row>
    <row r="98" spans="2:15" s="1" customFormat="1" ht="6.95" customHeight="1">
      <c r="B98" s="39"/>
    </row>
    <row r="99" spans="2:15" s="1" customFormat="1" ht="15">
      <c r="B99" s="39"/>
      <c r="C99" s="35" t="s">
        <v>12</v>
      </c>
      <c r="F99" s="36" t="str">
        <f>E15</f>
        <v>Město Smržovka, nám. T.G.Masaryka č.p. 600, Smržovka, PSČ 46851</v>
      </c>
      <c r="I99" s="35" t="s">
        <v>17</v>
      </c>
      <c r="J99" s="36" t="str">
        <f>E21</f>
        <v>LHOTA - STAVITELSTVÍ</v>
      </c>
    </row>
    <row r="100" spans="2:15" s="1" customFormat="1" ht="14.45" customHeight="1">
      <c r="B100" s="39"/>
      <c r="C100" s="35" t="s">
        <v>15</v>
      </c>
      <c r="F100" s="36" t="str">
        <f>IF(E18="","",E18)</f>
        <v xml:space="preserve"> </v>
      </c>
    </row>
    <row r="101" spans="2:15" s="1" customFormat="1" ht="10.35" customHeight="1">
      <c r="B101" s="39"/>
    </row>
    <row r="102" spans="2:15" s="9" customFormat="1" ht="29.25" customHeight="1">
      <c r="B102" s="122"/>
      <c r="C102" s="123" t="s">
        <v>55</v>
      </c>
      <c r="D102" s="124" t="s">
        <v>37</v>
      </c>
      <c r="E102" s="124" t="s">
        <v>33</v>
      </c>
      <c r="F102" s="124" t="s">
        <v>56</v>
      </c>
      <c r="G102" s="124" t="s">
        <v>57</v>
      </c>
      <c r="H102" s="124" t="s">
        <v>58</v>
      </c>
      <c r="I102" s="125" t="s">
        <v>59</v>
      </c>
      <c r="J102" s="124" t="s">
        <v>50</v>
      </c>
      <c r="K102" s="126" t="s">
        <v>60</v>
      </c>
    </row>
    <row r="103" spans="2:15" s="1" customFormat="1" ht="29.25" customHeight="1">
      <c r="B103" s="39"/>
      <c r="C103" s="64" t="s">
        <v>51</v>
      </c>
      <c r="J103" s="127">
        <f>J104+J584</f>
        <v>0</v>
      </c>
    </row>
    <row r="104" spans="2:15" s="10" customFormat="1" ht="37.35" customHeight="1">
      <c r="B104" s="128"/>
      <c r="D104" s="129" t="s">
        <v>39</v>
      </c>
      <c r="E104" s="130" t="s">
        <v>62</v>
      </c>
      <c r="F104" s="130" t="s">
        <v>63</v>
      </c>
      <c r="J104" s="131">
        <f>J105+J159+J212+J239+J328+J457+J580</f>
        <v>0</v>
      </c>
      <c r="O104"/>
    </row>
    <row r="105" spans="2:15" s="10" customFormat="1" ht="19.899999999999999" customHeight="1">
      <c r="B105" s="128"/>
      <c r="D105" s="129" t="s">
        <v>39</v>
      </c>
      <c r="E105" s="133" t="s">
        <v>9</v>
      </c>
      <c r="F105" s="133" t="s">
        <v>91</v>
      </c>
      <c r="J105" s="134">
        <f>SUM(J106:J158)</f>
        <v>0</v>
      </c>
      <c r="O105"/>
    </row>
    <row r="106" spans="2:15" s="1" customFormat="1" ht="22.5" customHeight="1">
      <c r="B106" s="39"/>
      <c r="C106" s="135">
        <v>1</v>
      </c>
      <c r="D106" s="135" t="s">
        <v>65</v>
      </c>
      <c r="E106" s="136" t="s">
        <v>612</v>
      </c>
      <c r="F106" s="137" t="s">
        <v>611</v>
      </c>
      <c r="G106" s="138" t="s">
        <v>155</v>
      </c>
      <c r="H106" s="139">
        <f>H108</f>
        <v>40.075999999999993</v>
      </c>
      <c r="I106" s="90"/>
      <c r="J106" s="140">
        <f>ROUND(I106*H106,2)</f>
        <v>0</v>
      </c>
      <c r="K106" s="137"/>
    </row>
    <row r="107" spans="2:15" s="11" customFormat="1" ht="27">
      <c r="B107" s="141"/>
      <c r="D107" s="142" t="s">
        <v>95</v>
      </c>
      <c r="E107" s="143" t="s">
        <v>2</v>
      </c>
      <c r="F107" s="144" t="s">
        <v>2387</v>
      </c>
      <c r="H107" s="145">
        <f>(0.67+2.62+0.5+4.02+0.5+0.41+0.83+0.67+1+1+1+1)*2+(2.91+1.505+0.523+0.88)*2</f>
        <v>40.075999999999993</v>
      </c>
      <c r="O107" s="1"/>
    </row>
    <row r="108" spans="2:15" s="12" customFormat="1">
      <c r="B108" s="146"/>
      <c r="D108" s="142" t="s">
        <v>95</v>
      </c>
      <c r="E108" s="147" t="s">
        <v>2</v>
      </c>
      <c r="F108" s="148" t="s">
        <v>96</v>
      </c>
      <c r="H108" s="149">
        <f>SUM(H107:H107)</f>
        <v>40.075999999999993</v>
      </c>
      <c r="O108" s="1"/>
    </row>
    <row r="109" spans="2:15" s="1" customFormat="1" ht="22.5" customHeight="1">
      <c r="B109" s="39"/>
      <c r="C109" s="135">
        <f>C106+1</f>
        <v>2</v>
      </c>
      <c r="D109" s="135" t="s">
        <v>65</v>
      </c>
      <c r="E109" s="136" t="s">
        <v>92</v>
      </c>
      <c r="F109" s="137" t="s">
        <v>93</v>
      </c>
      <c r="G109" s="138" t="s">
        <v>94</v>
      </c>
      <c r="H109" s="139">
        <f>H112</f>
        <v>26.531981536000004</v>
      </c>
      <c r="I109" s="90"/>
      <c r="J109" s="140">
        <f>ROUND(I109*H109,2)</f>
        <v>0</v>
      </c>
      <c r="K109" s="137"/>
    </row>
    <row r="110" spans="2:15" s="11" customFormat="1" ht="54">
      <c r="B110" s="141"/>
      <c r="D110" s="142" t="s">
        <v>95</v>
      </c>
      <c r="E110" s="143" t="s">
        <v>2</v>
      </c>
      <c r="F110" s="144" t="s">
        <v>2388</v>
      </c>
      <c r="H110" s="145">
        <f>((2.68*2.825)*2.5+((3.56*4.585)-(2.68*2.825))*(2.5/2)-(1.157*1.612)*(2.5-2.2)+((1.88-1.425)*((2.5-2.2)/2)))*80%+((2.91+0.88+0.665+0.7+0.51)*1.344)*1.45*80%+(1.277*1.332)*0.664</f>
        <v>33.461981536000003</v>
      </c>
      <c r="O110" s="1"/>
    </row>
    <row r="111" spans="2:15" s="11" customFormat="1">
      <c r="B111" s="141"/>
      <c r="D111" s="142" t="s">
        <v>95</v>
      </c>
      <c r="E111" s="143" t="s">
        <v>2</v>
      </c>
      <c r="F111" s="144" t="s">
        <v>2393</v>
      </c>
      <c r="H111" s="145">
        <f>((2.3+2.905+1.8+2.245+2.3)*0.6)*(-1)</f>
        <v>-6.9300000000000006</v>
      </c>
      <c r="O111" s="1"/>
    </row>
    <row r="112" spans="2:15" s="12" customFormat="1">
      <c r="B112" s="146"/>
      <c r="D112" s="142" t="s">
        <v>95</v>
      </c>
      <c r="E112" s="147" t="s">
        <v>2</v>
      </c>
      <c r="F112" s="148" t="s">
        <v>96</v>
      </c>
      <c r="H112" s="149">
        <f>SUM(H110:H111)</f>
        <v>26.531981536000004</v>
      </c>
      <c r="O112" s="1"/>
    </row>
    <row r="113" spans="2:15" s="1" customFormat="1" ht="22.5" customHeight="1">
      <c r="B113" s="39"/>
      <c r="C113" s="135">
        <f>C109+1</f>
        <v>3</v>
      </c>
      <c r="D113" s="135" t="s">
        <v>65</v>
      </c>
      <c r="E113" s="136" t="s">
        <v>97</v>
      </c>
      <c r="F113" s="137" t="s">
        <v>98</v>
      </c>
      <c r="G113" s="138" t="s">
        <v>94</v>
      </c>
      <c r="H113" s="139">
        <f>H115</f>
        <v>6.9300000000000006</v>
      </c>
      <c r="I113" s="90"/>
      <c r="J113" s="140">
        <f>ROUND(I113*H113,2)</f>
        <v>0</v>
      </c>
      <c r="K113" s="137"/>
    </row>
    <row r="114" spans="2:15" s="11" customFormat="1">
      <c r="B114" s="141"/>
      <c r="D114" s="142" t="s">
        <v>95</v>
      </c>
      <c r="E114" s="143" t="s">
        <v>2</v>
      </c>
      <c r="F114" s="144" t="s">
        <v>2389</v>
      </c>
      <c r="H114" s="145">
        <f>(2.3+2.905+1.8+2.245+2.3)*0.6</f>
        <v>6.9300000000000006</v>
      </c>
      <c r="O114" s="1"/>
    </row>
    <row r="115" spans="2:15" s="12" customFormat="1">
      <c r="B115" s="146"/>
      <c r="D115" s="142" t="s">
        <v>95</v>
      </c>
      <c r="E115" s="147" t="s">
        <v>2</v>
      </c>
      <c r="F115" s="148" t="s">
        <v>96</v>
      </c>
      <c r="H115" s="149">
        <f>SUM(H114:H114)</f>
        <v>6.9300000000000006</v>
      </c>
      <c r="O115" s="1"/>
    </row>
    <row r="116" spans="2:15" s="1" customFormat="1" ht="22.5" customHeight="1">
      <c r="B116" s="39"/>
      <c r="C116" s="135">
        <f>C113+1</f>
        <v>4</v>
      </c>
      <c r="D116" s="135" t="s">
        <v>65</v>
      </c>
      <c r="E116" s="136" t="s">
        <v>578</v>
      </c>
      <c r="F116" s="137" t="s">
        <v>978</v>
      </c>
      <c r="G116" s="138" t="s">
        <v>94</v>
      </c>
      <c r="H116" s="139">
        <f>H118</f>
        <v>6.692396307200001</v>
      </c>
      <c r="I116" s="90"/>
      <c r="J116" s="140">
        <f>ROUND(I116*H116,2)</f>
        <v>0</v>
      </c>
      <c r="K116" s="137"/>
    </row>
    <row r="117" spans="2:15" s="11" customFormat="1">
      <c r="B117" s="141"/>
      <c r="D117" s="142" t="s">
        <v>95</v>
      </c>
      <c r="E117" s="143" t="s">
        <v>2</v>
      </c>
      <c r="F117" s="144" t="s">
        <v>2390</v>
      </c>
      <c r="H117" s="145">
        <f>(H112+H115)*20%</f>
        <v>6.692396307200001</v>
      </c>
      <c r="O117" s="1"/>
    </row>
    <row r="118" spans="2:15" s="12" customFormat="1">
      <c r="B118" s="146"/>
      <c r="D118" s="142" t="s">
        <v>95</v>
      </c>
      <c r="E118" s="147" t="s">
        <v>2</v>
      </c>
      <c r="F118" s="148" t="s">
        <v>96</v>
      </c>
      <c r="H118" s="149">
        <f>SUM(H117:H117)</f>
        <v>6.692396307200001</v>
      </c>
      <c r="O118" s="1"/>
    </row>
    <row r="119" spans="2:15" s="1" customFormat="1" ht="27">
      <c r="B119" s="39"/>
      <c r="C119" s="135">
        <f>C116+1</f>
        <v>5</v>
      </c>
      <c r="D119" s="135" t="s">
        <v>65</v>
      </c>
      <c r="E119" s="136" t="s">
        <v>621</v>
      </c>
      <c r="F119" s="137" t="s">
        <v>903</v>
      </c>
      <c r="G119" s="138" t="s">
        <v>105</v>
      </c>
      <c r="H119" s="139">
        <f>H121</f>
        <v>13.375000000000002</v>
      </c>
      <c r="I119" s="90"/>
      <c r="J119" s="140">
        <f>ROUND(I119*H119,2)</f>
        <v>0</v>
      </c>
      <c r="K119" s="137"/>
    </row>
    <row r="120" spans="2:15" s="11" customFormat="1" ht="24" customHeight="1">
      <c r="B120" s="141"/>
      <c r="D120" s="142" t="s">
        <v>95</v>
      </c>
      <c r="E120" s="143" t="s">
        <v>2</v>
      </c>
      <c r="F120" s="144" t="s">
        <v>2391</v>
      </c>
      <c r="H120" s="145">
        <f>(2.3+0.2)*(2.905+2.245+0.2)</f>
        <v>13.375000000000002</v>
      </c>
      <c r="O120" s="1"/>
    </row>
    <row r="121" spans="2:15" s="12" customFormat="1">
      <c r="B121" s="146"/>
      <c r="D121" s="142" t="s">
        <v>95</v>
      </c>
      <c r="E121" s="147" t="s">
        <v>2</v>
      </c>
      <c r="F121" s="148" t="s">
        <v>96</v>
      </c>
      <c r="H121" s="149">
        <f>SUM(H120:H120)</f>
        <v>13.375000000000002</v>
      </c>
      <c r="O121" s="1"/>
    </row>
    <row r="122" spans="2:15" s="1" customFormat="1" ht="22.5" customHeight="1">
      <c r="B122" s="39"/>
      <c r="C122" s="135">
        <f>C119+1</f>
        <v>6</v>
      </c>
      <c r="D122" s="135" t="s">
        <v>65</v>
      </c>
      <c r="E122" s="136" t="s">
        <v>907</v>
      </c>
      <c r="F122" s="137" t="s">
        <v>979</v>
      </c>
      <c r="G122" s="138" t="s">
        <v>94</v>
      </c>
      <c r="H122" s="139">
        <f>H125</f>
        <v>18.668431536000003</v>
      </c>
      <c r="I122" s="90"/>
      <c r="J122" s="140">
        <f>ROUND(I122*H122,2)</f>
        <v>0</v>
      </c>
      <c r="K122" s="137"/>
    </row>
    <row r="123" spans="2:15" s="11" customFormat="1" ht="54">
      <c r="B123" s="141"/>
      <c r="D123" s="142" t="s">
        <v>95</v>
      </c>
      <c r="E123" s="143" t="s">
        <v>2</v>
      </c>
      <c r="F123" s="144" t="s">
        <v>2388</v>
      </c>
      <c r="H123" s="145">
        <f>((2.68*2.825)*2.5+((3.56*4.585)-(2.68*2.825))*(2.5/2)-(1.157*1.612)*(2.5-2.2)+((1.88-1.425)*((2.5-2.2)/2)))*80%+((2.91+0.88+0.665+0.7+0.51)*1.344)*1.45*80%+(1.277*1.332)*0.664</f>
        <v>33.461981536000003</v>
      </c>
      <c r="O123" s="1"/>
    </row>
    <row r="124" spans="2:15" s="11" customFormat="1" ht="27">
      <c r="B124" s="141"/>
      <c r="D124" s="142" t="s">
        <v>95</v>
      </c>
      <c r="E124" s="143" t="s">
        <v>2</v>
      </c>
      <c r="F124" s="144" t="s">
        <v>2392</v>
      </c>
      <c r="H124" s="145">
        <f>((1.8+2.905+1.8)*0.5*2+(1.8*1.905)*1.8+(2.245+1.8)*0.5*0.9+(1.8*1.645)*0.1)*(-1)</f>
        <v>-14.79355</v>
      </c>
      <c r="O124" s="1"/>
    </row>
    <row r="125" spans="2:15" s="12" customFormat="1">
      <c r="B125" s="146"/>
      <c r="D125" s="142" t="s">
        <v>95</v>
      </c>
      <c r="E125" s="147" t="s">
        <v>2</v>
      </c>
      <c r="F125" s="148" t="s">
        <v>96</v>
      </c>
      <c r="H125" s="149">
        <f>SUM(H123:H124)</f>
        <v>18.668431536000003</v>
      </c>
      <c r="O125" s="1"/>
    </row>
    <row r="126" spans="2:15" s="1" customFormat="1" ht="22.5" customHeight="1">
      <c r="B126" s="39"/>
      <c r="C126" s="135">
        <f>C122+1</f>
        <v>7</v>
      </c>
      <c r="D126" s="135" t="s">
        <v>65</v>
      </c>
      <c r="E126" s="136" t="s">
        <v>103</v>
      </c>
      <c r="F126" s="137" t="s">
        <v>104</v>
      </c>
      <c r="G126" s="138" t="s">
        <v>105</v>
      </c>
      <c r="H126" s="139">
        <f>H128</f>
        <v>15.513599999999999</v>
      </c>
      <c r="I126" s="90"/>
      <c r="J126" s="140">
        <f>ROUND(I126*H126,2)</f>
        <v>0</v>
      </c>
      <c r="K126" s="137"/>
    </row>
    <row r="127" spans="2:15" s="11" customFormat="1" ht="27">
      <c r="B127" s="141"/>
      <c r="D127" s="142" t="s">
        <v>95</v>
      </c>
      <c r="E127" s="143" t="s">
        <v>2</v>
      </c>
      <c r="F127" s="144" t="s">
        <v>2394</v>
      </c>
      <c r="H127" s="145">
        <f>(3.56*7.685)-(2.3*(2.905+2.245))</f>
        <v>15.513599999999999</v>
      </c>
      <c r="O127" s="1"/>
    </row>
    <row r="128" spans="2:15" s="12" customFormat="1">
      <c r="B128" s="146"/>
      <c r="D128" s="142" t="s">
        <v>95</v>
      </c>
      <c r="E128" s="147" t="s">
        <v>2</v>
      </c>
      <c r="F128" s="148" t="s">
        <v>96</v>
      </c>
      <c r="H128" s="149">
        <f>SUM(H127:H127)</f>
        <v>15.513599999999999</v>
      </c>
      <c r="O128" s="1"/>
    </row>
    <row r="129" spans="2:15" s="1" customFormat="1" ht="22.5" customHeight="1">
      <c r="B129" s="39"/>
      <c r="C129" s="135">
        <f>C126+1</f>
        <v>8</v>
      </c>
      <c r="D129" s="135" t="s">
        <v>65</v>
      </c>
      <c r="E129" s="136" t="s">
        <v>584</v>
      </c>
      <c r="F129" s="137" t="s">
        <v>585</v>
      </c>
      <c r="G129" s="138" t="s">
        <v>94</v>
      </c>
      <c r="H129" s="139">
        <f>H133</f>
        <v>42.889860000000006</v>
      </c>
      <c r="I129" s="90"/>
      <c r="J129" s="140">
        <f>ROUND(I129*H129,2)</f>
        <v>0</v>
      </c>
      <c r="K129" s="137"/>
    </row>
    <row r="130" spans="2:15" s="11" customFormat="1">
      <c r="B130" s="141"/>
      <c r="D130" s="142" t="s">
        <v>95</v>
      </c>
      <c r="E130" s="143" t="s">
        <v>2</v>
      </c>
      <c r="F130" s="144" t="s">
        <v>2395</v>
      </c>
      <c r="H130" s="145">
        <f>(3.56*7.685)*0.1</f>
        <v>2.7358600000000002</v>
      </c>
      <c r="O130" s="1"/>
    </row>
    <row r="131" spans="2:15" s="11" customFormat="1">
      <c r="B131" s="141"/>
      <c r="D131" s="142" t="s">
        <v>95</v>
      </c>
      <c r="E131" s="143"/>
      <c r="F131" s="144" t="s">
        <v>2396</v>
      </c>
      <c r="H131" s="145">
        <f>(26.532+6.93)</f>
        <v>33.462000000000003</v>
      </c>
      <c r="O131" s="1"/>
    </row>
    <row r="132" spans="2:15" s="11" customFormat="1">
      <c r="B132" s="141"/>
      <c r="D132" s="142" t="s">
        <v>95</v>
      </c>
      <c r="E132" s="143" t="s">
        <v>2</v>
      </c>
      <c r="F132" s="144" t="s">
        <v>2397</v>
      </c>
      <c r="H132" s="145">
        <f>(6.692)</f>
        <v>6.6920000000000002</v>
      </c>
      <c r="O132" s="1"/>
    </row>
    <row r="133" spans="2:15" s="12" customFormat="1">
      <c r="B133" s="146"/>
      <c r="D133" s="142" t="s">
        <v>95</v>
      </c>
      <c r="E133" s="147" t="s">
        <v>2</v>
      </c>
      <c r="F133" s="148" t="s">
        <v>96</v>
      </c>
      <c r="H133" s="149">
        <f>SUM(H130:H132)</f>
        <v>42.889860000000006</v>
      </c>
      <c r="O133" s="1"/>
    </row>
    <row r="134" spans="2:15" s="1" customFormat="1" ht="22.5" customHeight="1">
      <c r="B134" s="39"/>
      <c r="C134" s="135">
        <f>C129+1</f>
        <v>9</v>
      </c>
      <c r="D134" s="135" t="s">
        <v>65</v>
      </c>
      <c r="E134" s="136" t="s">
        <v>586</v>
      </c>
      <c r="F134" s="137" t="s">
        <v>593</v>
      </c>
      <c r="G134" s="138" t="s">
        <v>94</v>
      </c>
      <c r="H134" s="139">
        <f>H138</f>
        <v>42.889860000000006</v>
      </c>
      <c r="I134" s="90"/>
      <c r="J134" s="140">
        <f>ROUND(I134*H134,2)</f>
        <v>0</v>
      </c>
      <c r="K134" s="137"/>
    </row>
    <row r="135" spans="2:15" s="11" customFormat="1">
      <c r="B135" s="141"/>
      <c r="D135" s="142" t="s">
        <v>95</v>
      </c>
      <c r="E135" s="143" t="s">
        <v>2</v>
      </c>
      <c r="F135" s="144" t="s">
        <v>2395</v>
      </c>
      <c r="H135" s="145">
        <f>(3.56*7.685)*0.1</f>
        <v>2.7358600000000002</v>
      </c>
      <c r="O135" s="1"/>
    </row>
    <row r="136" spans="2:15" s="11" customFormat="1">
      <c r="B136" s="141"/>
      <c r="D136" s="142" t="s">
        <v>95</v>
      </c>
      <c r="E136" s="143"/>
      <c r="F136" s="144" t="s">
        <v>2396</v>
      </c>
      <c r="H136" s="145">
        <f>(26.532+6.93)</f>
        <v>33.462000000000003</v>
      </c>
      <c r="O136" s="1"/>
    </row>
    <row r="137" spans="2:15" s="11" customFormat="1">
      <c r="B137" s="141"/>
      <c r="D137" s="142" t="s">
        <v>95</v>
      </c>
      <c r="E137" s="143" t="s">
        <v>2</v>
      </c>
      <c r="F137" s="144" t="s">
        <v>2397</v>
      </c>
      <c r="H137" s="145">
        <f>(6.692)</f>
        <v>6.6920000000000002</v>
      </c>
      <c r="O137" s="1"/>
    </row>
    <row r="138" spans="2:15" s="12" customFormat="1">
      <c r="B138" s="146"/>
      <c r="D138" s="142" t="s">
        <v>95</v>
      </c>
      <c r="E138" s="147" t="s">
        <v>2</v>
      </c>
      <c r="F138" s="148" t="s">
        <v>96</v>
      </c>
      <c r="H138" s="149">
        <f>SUM(H135:H137)</f>
        <v>42.889860000000006</v>
      </c>
      <c r="O138" s="1"/>
    </row>
    <row r="139" spans="2:15" s="1" customFormat="1" ht="22.5" customHeight="1">
      <c r="B139" s="39"/>
      <c r="C139" s="135">
        <f>C134+1</f>
        <v>10</v>
      </c>
      <c r="D139" s="135" t="s">
        <v>65</v>
      </c>
      <c r="E139" s="136" t="s">
        <v>587</v>
      </c>
      <c r="F139" s="137" t="s">
        <v>588</v>
      </c>
      <c r="G139" s="138" t="s">
        <v>94</v>
      </c>
      <c r="H139" s="139">
        <f>H143</f>
        <v>42.889860000000006</v>
      </c>
      <c r="I139" s="90"/>
      <c r="J139" s="140">
        <f>ROUND(I139*H139,2)</f>
        <v>0</v>
      </c>
      <c r="K139" s="137"/>
    </row>
    <row r="140" spans="2:15" s="11" customFormat="1">
      <c r="B140" s="141"/>
      <c r="D140" s="142" t="s">
        <v>95</v>
      </c>
      <c r="E140" s="143" t="s">
        <v>2</v>
      </c>
      <c r="F140" s="144" t="s">
        <v>2395</v>
      </c>
      <c r="H140" s="145">
        <f>(3.56*7.685)*0.1</f>
        <v>2.7358600000000002</v>
      </c>
      <c r="O140" s="1"/>
    </row>
    <row r="141" spans="2:15" s="11" customFormat="1">
      <c r="B141" s="141"/>
      <c r="D141" s="142" t="s">
        <v>95</v>
      </c>
      <c r="E141" s="143"/>
      <c r="F141" s="144" t="s">
        <v>2396</v>
      </c>
      <c r="H141" s="145">
        <f>(26.532+6.93)</f>
        <v>33.462000000000003</v>
      </c>
      <c r="O141" s="1"/>
    </row>
    <row r="142" spans="2:15" s="11" customFormat="1">
      <c r="B142" s="141"/>
      <c r="D142" s="142" t="s">
        <v>95</v>
      </c>
      <c r="E142" s="143" t="s">
        <v>2</v>
      </c>
      <c r="F142" s="144" t="s">
        <v>2397</v>
      </c>
      <c r="H142" s="145">
        <f>(6.692)</f>
        <v>6.6920000000000002</v>
      </c>
      <c r="O142" s="1"/>
    </row>
    <row r="143" spans="2:15" s="12" customFormat="1">
      <c r="B143" s="146"/>
      <c r="D143" s="142" t="s">
        <v>95</v>
      </c>
      <c r="E143" s="147" t="s">
        <v>2</v>
      </c>
      <c r="F143" s="148" t="s">
        <v>96</v>
      </c>
      <c r="H143" s="149">
        <f>SUM(H140:H142)</f>
        <v>42.889860000000006</v>
      </c>
      <c r="O143" s="1"/>
    </row>
    <row r="144" spans="2:15" s="1" customFormat="1" ht="22.5" customHeight="1">
      <c r="B144" s="39"/>
      <c r="C144" s="135">
        <f>C139+1</f>
        <v>11</v>
      </c>
      <c r="D144" s="135" t="s">
        <v>65</v>
      </c>
      <c r="E144" s="136" t="s">
        <v>589</v>
      </c>
      <c r="F144" s="137" t="s">
        <v>590</v>
      </c>
      <c r="G144" s="138" t="s">
        <v>94</v>
      </c>
      <c r="H144" s="139">
        <f>H148</f>
        <v>42.889860000000006</v>
      </c>
      <c r="I144" s="90"/>
      <c r="J144" s="140">
        <f>H144*I144</f>
        <v>0</v>
      </c>
      <c r="K144" s="137"/>
    </row>
    <row r="145" spans="2:16" s="11" customFormat="1">
      <c r="B145" s="141"/>
      <c r="D145" s="142" t="s">
        <v>95</v>
      </c>
      <c r="E145" s="143" t="s">
        <v>2</v>
      </c>
      <c r="F145" s="144" t="s">
        <v>2395</v>
      </c>
      <c r="H145" s="145">
        <f>(3.56*7.685)*0.1</f>
        <v>2.7358600000000002</v>
      </c>
      <c r="O145" s="1"/>
    </row>
    <row r="146" spans="2:16" s="11" customFormat="1">
      <c r="B146" s="141"/>
      <c r="D146" s="142" t="s">
        <v>95</v>
      </c>
      <c r="E146" s="143"/>
      <c r="F146" s="144" t="s">
        <v>2396</v>
      </c>
      <c r="H146" s="145">
        <f>(26.532+6.93)</f>
        <v>33.462000000000003</v>
      </c>
      <c r="O146" s="1"/>
    </row>
    <row r="147" spans="2:16" s="11" customFormat="1">
      <c r="B147" s="141"/>
      <c r="D147" s="142" t="s">
        <v>95</v>
      </c>
      <c r="E147" s="143" t="s">
        <v>2</v>
      </c>
      <c r="F147" s="144" t="s">
        <v>2397</v>
      </c>
      <c r="H147" s="145">
        <f>(6.692)</f>
        <v>6.6920000000000002</v>
      </c>
      <c r="O147" s="1"/>
    </row>
    <row r="148" spans="2:16" s="12" customFormat="1">
      <c r="B148" s="146"/>
      <c r="D148" s="142" t="s">
        <v>95</v>
      </c>
      <c r="E148" s="147" t="s">
        <v>2</v>
      </c>
      <c r="F148" s="148" t="s">
        <v>96</v>
      </c>
      <c r="H148" s="149">
        <f>SUM(H145:H147)</f>
        <v>42.889860000000006</v>
      </c>
      <c r="O148" s="1"/>
    </row>
    <row r="149" spans="2:16" s="1" customFormat="1" ht="22.5" customHeight="1">
      <c r="B149" s="39"/>
      <c r="C149" s="135">
        <f>C144+1</f>
        <v>12</v>
      </c>
      <c r="D149" s="135" t="s">
        <v>65</v>
      </c>
      <c r="E149" s="136" t="s">
        <v>591</v>
      </c>
      <c r="F149" s="137" t="s">
        <v>592</v>
      </c>
      <c r="G149" s="138" t="s">
        <v>101</v>
      </c>
      <c r="H149" s="139">
        <f>H152</f>
        <v>75.288750000000007</v>
      </c>
      <c r="I149" s="90"/>
      <c r="J149" s="140">
        <f>H149*I149</f>
        <v>0</v>
      </c>
      <c r="K149" s="137"/>
    </row>
    <row r="150" spans="2:16" s="11" customFormat="1">
      <c r="B150" s="141"/>
      <c r="D150" s="142" t="s">
        <v>95</v>
      </c>
      <c r="E150" s="143"/>
      <c r="F150" s="144" t="s">
        <v>2398</v>
      </c>
      <c r="H150" s="145">
        <f>(26.532+6.93)*1.875</f>
        <v>62.741250000000008</v>
      </c>
      <c r="O150" s="1"/>
    </row>
    <row r="151" spans="2:16" s="11" customFormat="1">
      <c r="B151" s="141"/>
      <c r="D151" s="142" t="s">
        <v>95</v>
      </c>
      <c r="E151" s="143" t="s">
        <v>2</v>
      </c>
      <c r="F151" s="144" t="s">
        <v>2399</v>
      </c>
      <c r="H151" s="145">
        <f>(6.692)*1.875</f>
        <v>12.547499999999999</v>
      </c>
      <c r="O151" s="1"/>
    </row>
    <row r="152" spans="2:16" s="12" customFormat="1">
      <c r="B152" s="146"/>
      <c r="D152" s="142" t="s">
        <v>95</v>
      </c>
      <c r="E152" s="147" t="s">
        <v>2</v>
      </c>
      <c r="F152" s="148" t="s">
        <v>96</v>
      </c>
      <c r="H152" s="149">
        <f>SUM(H150:H151)</f>
        <v>75.288750000000007</v>
      </c>
      <c r="O152" s="1"/>
    </row>
    <row r="153" spans="2:16" s="1" customFormat="1" ht="22.5" customHeight="1">
      <c r="B153" s="39"/>
      <c r="C153" s="135">
        <f>C149+1</f>
        <v>13</v>
      </c>
      <c r="D153" s="135" t="s">
        <v>65</v>
      </c>
      <c r="E153" s="136" t="s">
        <v>845</v>
      </c>
      <c r="F153" s="137" t="s">
        <v>857</v>
      </c>
      <c r="G153" s="138" t="s">
        <v>101</v>
      </c>
      <c r="H153" s="139">
        <f>H155</f>
        <v>0.58409999999999995</v>
      </c>
      <c r="I153" s="90"/>
      <c r="J153" s="140">
        <f>H153*I153</f>
        <v>0</v>
      </c>
      <c r="K153" s="137"/>
    </row>
    <row r="154" spans="2:16" s="11" customFormat="1">
      <c r="B154" s="141"/>
      <c r="D154" s="142" t="s">
        <v>95</v>
      </c>
      <c r="E154" s="143" t="s">
        <v>2</v>
      </c>
      <c r="F154" s="144" t="s">
        <v>980</v>
      </c>
      <c r="H154" s="145">
        <f>(2.2*1.18)*0.1*2.25</f>
        <v>0.58409999999999995</v>
      </c>
      <c r="O154" s="1"/>
    </row>
    <row r="155" spans="2:16" s="12" customFormat="1">
      <c r="B155" s="146"/>
      <c r="D155" s="142" t="s">
        <v>95</v>
      </c>
      <c r="E155" s="147" t="s">
        <v>2</v>
      </c>
      <c r="F155" s="148" t="s">
        <v>96</v>
      </c>
      <c r="H155" s="149">
        <f>SUM(H154:H154)</f>
        <v>0.58409999999999995</v>
      </c>
      <c r="O155" s="1"/>
    </row>
    <row r="156" spans="2:16" s="1" customFormat="1" ht="22.5" customHeight="1">
      <c r="B156" s="39"/>
      <c r="C156" s="135">
        <f>C153+1</f>
        <v>14</v>
      </c>
      <c r="D156" s="135" t="s">
        <v>65</v>
      </c>
      <c r="E156" s="136" t="s">
        <v>845</v>
      </c>
      <c r="F156" s="137" t="s">
        <v>856</v>
      </c>
      <c r="G156" s="138" t="s">
        <v>101</v>
      </c>
      <c r="H156" s="139">
        <f>H158</f>
        <v>5.2843197000000002</v>
      </c>
      <c r="I156" s="90"/>
      <c r="J156" s="140">
        <f>H156*I156</f>
        <v>0</v>
      </c>
      <c r="K156" s="137"/>
    </row>
    <row r="157" spans="2:16" s="11" customFormat="1" ht="27">
      <c r="B157" s="141"/>
      <c r="D157" s="142" t="s">
        <v>95</v>
      </c>
      <c r="E157" s="143" t="s">
        <v>2</v>
      </c>
      <c r="F157" s="144" t="s">
        <v>2400</v>
      </c>
      <c r="H157" s="145">
        <f>((3.56*7.685)*0.1*2.145)-((2.2*1.18)*0.1*2.25)</f>
        <v>5.2843197000000002</v>
      </c>
      <c r="O157" s="1"/>
    </row>
    <row r="158" spans="2:16" s="12" customFormat="1">
      <c r="B158" s="146"/>
      <c r="D158" s="142" t="s">
        <v>95</v>
      </c>
      <c r="E158" s="147" t="s">
        <v>2</v>
      </c>
      <c r="F158" s="148" t="s">
        <v>96</v>
      </c>
      <c r="H158" s="149">
        <f>SUM(H157:H157)</f>
        <v>5.2843197000000002</v>
      </c>
      <c r="O158" s="1"/>
    </row>
    <row r="159" spans="2:16" s="10" customFormat="1" ht="29.85" customHeight="1">
      <c r="B159" s="128"/>
      <c r="D159" s="129" t="s">
        <v>39</v>
      </c>
      <c r="E159" s="133" t="s">
        <v>42</v>
      </c>
      <c r="F159" s="133" t="s">
        <v>106</v>
      </c>
      <c r="J159" s="134">
        <f>SUM(J160:J211)</f>
        <v>0</v>
      </c>
      <c r="O159"/>
    </row>
    <row r="160" spans="2:16" s="1" customFormat="1" ht="22.5" customHeight="1">
      <c r="B160" s="39"/>
      <c r="C160" s="135">
        <f>C156+1</f>
        <v>15</v>
      </c>
      <c r="D160" s="135" t="s">
        <v>65</v>
      </c>
      <c r="E160" s="136" t="s">
        <v>107</v>
      </c>
      <c r="F160" s="137" t="s">
        <v>981</v>
      </c>
      <c r="G160" s="138" t="s">
        <v>94</v>
      </c>
      <c r="H160" s="139">
        <f>H164</f>
        <v>1.3995749999999996</v>
      </c>
      <c r="I160" s="90"/>
      <c r="J160" s="140">
        <f>ROUND(I160*H160,2)</f>
        <v>0</v>
      </c>
      <c r="K160" s="137"/>
      <c r="P160" s="1">
        <f>H160*2.258</f>
        <v>3.1602403499999991</v>
      </c>
    </row>
    <row r="161" spans="2:16" s="11" customFormat="1">
      <c r="B161" s="141"/>
      <c r="D161" s="142" t="s">
        <v>95</v>
      </c>
      <c r="E161" s="143" t="s">
        <v>2</v>
      </c>
      <c r="F161" s="144" t="s">
        <v>2401</v>
      </c>
      <c r="H161" s="145">
        <f>2.905*2.3*0.15</f>
        <v>1.0022249999999997</v>
      </c>
      <c r="O161" s="1"/>
    </row>
    <row r="162" spans="2:16" s="11" customFormat="1" ht="24" customHeight="1">
      <c r="B162" s="141"/>
      <c r="D162" s="142" t="s">
        <v>95</v>
      </c>
      <c r="E162" s="143" t="s">
        <v>2</v>
      </c>
      <c r="F162" s="144" t="s">
        <v>997</v>
      </c>
      <c r="H162" s="145">
        <f>((0.6+0.3+0.6+0.3)*0.15)*1.15+(0.6*0.3)*0.15</f>
        <v>0.33750000000000002</v>
      </c>
      <c r="O162" s="1"/>
    </row>
    <row r="163" spans="2:16" s="11" customFormat="1" ht="24" customHeight="1">
      <c r="B163" s="141"/>
      <c r="D163" s="142" t="s">
        <v>95</v>
      </c>
      <c r="E163" s="143" t="s">
        <v>2</v>
      </c>
      <c r="F163" s="144" t="s">
        <v>1014</v>
      </c>
      <c r="H163" s="145">
        <f>(1.14*0.35)*0.15</f>
        <v>5.9849999999999993E-2</v>
      </c>
      <c r="O163" s="1"/>
    </row>
    <row r="164" spans="2:16" s="12" customFormat="1">
      <c r="B164" s="146"/>
      <c r="D164" s="142" t="s">
        <v>95</v>
      </c>
      <c r="E164" s="147" t="s">
        <v>2</v>
      </c>
      <c r="F164" s="148" t="s">
        <v>96</v>
      </c>
      <c r="H164" s="149">
        <f>SUM(H161:H163)</f>
        <v>1.3995749999999996</v>
      </c>
      <c r="O164" s="1"/>
    </row>
    <row r="165" spans="2:16" s="1" customFormat="1" ht="22.5" customHeight="1">
      <c r="B165" s="39"/>
      <c r="C165" s="135">
        <f>C160+1</f>
        <v>16</v>
      </c>
      <c r="D165" s="135" t="s">
        <v>65</v>
      </c>
      <c r="E165" s="136" t="s">
        <v>986</v>
      </c>
      <c r="F165" s="137" t="s">
        <v>987</v>
      </c>
      <c r="G165" s="138" t="s">
        <v>101</v>
      </c>
      <c r="H165" s="139">
        <f>H167</f>
        <v>3.1437420000000001E-2</v>
      </c>
      <c r="I165" s="90"/>
      <c r="J165" s="140">
        <f>ROUND(I165*H165,2)</f>
        <v>0</v>
      </c>
      <c r="K165" s="137"/>
      <c r="P165" s="303">
        <f>H165</f>
        <v>3.1437420000000001E-2</v>
      </c>
    </row>
    <row r="166" spans="2:16" s="11" customFormat="1" ht="27">
      <c r="B166" s="141"/>
      <c r="D166" s="142" t="s">
        <v>95</v>
      </c>
      <c r="E166" s="143" t="s">
        <v>2</v>
      </c>
      <c r="F166" s="144" t="s">
        <v>2402</v>
      </c>
      <c r="H166" s="145">
        <f>((2.905*2.3)+(1.14*0.35))*(4.44/1000)</f>
        <v>3.1437420000000001E-2</v>
      </c>
      <c r="O166" s="1"/>
    </row>
    <row r="167" spans="2:16" s="12" customFormat="1">
      <c r="B167" s="146"/>
      <c r="D167" s="142" t="s">
        <v>95</v>
      </c>
      <c r="E167" s="147" t="s">
        <v>2</v>
      </c>
      <c r="F167" s="148" t="s">
        <v>96</v>
      </c>
      <c r="H167" s="149">
        <f>SUM(H166:H166)</f>
        <v>3.1437420000000001E-2</v>
      </c>
      <c r="O167" s="1"/>
    </row>
    <row r="168" spans="2:16" s="1" customFormat="1" ht="22.5" customHeight="1">
      <c r="B168" s="39"/>
      <c r="C168" s="135">
        <f>C165+1</f>
        <v>17</v>
      </c>
      <c r="D168" s="135" t="s">
        <v>65</v>
      </c>
      <c r="E168" s="136" t="s">
        <v>108</v>
      </c>
      <c r="F168" s="137" t="s">
        <v>985</v>
      </c>
      <c r="G168" s="138" t="s">
        <v>94</v>
      </c>
      <c r="H168" s="139">
        <f>H174</f>
        <v>5.2008000000000001</v>
      </c>
      <c r="I168" s="90"/>
      <c r="J168" s="140">
        <f>ROUND(I168*H168,2)</f>
        <v>0</v>
      </c>
      <c r="K168" s="137"/>
      <c r="P168" s="1">
        <f>H168*2.258</f>
        <v>11.7434064</v>
      </c>
    </row>
    <row r="169" spans="2:16" s="11" customFormat="1">
      <c r="B169" s="141"/>
      <c r="D169" s="142" t="s">
        <v>95</v>
      </c>
      <c r="E169" s="143" t="s">
        <v>2</v>
      </c>
      <c r="F169" s="144" t="s">
        <v>2403</v>
      </c>
      <c r="H169" s="145">
        <f>(1.8+2.905+1.8+2.245+1.8)*0.5*0.5</f>
        <v>2.6375000000000002</v>
      </c>
      <c r="O169" s="1"/>
    </row>
    <row r="170" spans="2:16" s="11" customFormat="1" ht="24" customHeight="1">
      <c r="B170" s="141"/>
      <c r="D170" s="142" t="s">
        <v>95</v>
      </c>
      <c r="E170" s="143" t="s">
        <v>2</v>
      </c>
      <c r="F170" s="144" t="s">
        <v>2404</v>
      </c>
      <c r="H170" s="145">
        <f>(1.8+2.905+1.8+2.245+1.8)*0.5*0.15</f>
        <v>0.79125000000000001</v>
      </c>
      <c r="O170" s="1"/>
    </row>
    <row r="171" spans="2:16" s="11" customFormat="1">
      <c r="B171" s="141"/>
      <c r="D171" s="142" t="s">
        <v>95</v>
      </c>
      <c r="E171" s="143" t="s">
        <v>2</v>
      </c>
      <c r="F171" s="144" t="s">
        <v>2405</v>
      </c>
      <c r="H171" s="145">
        <f>(2.905)*0.7*0.5</f>
        <v>1.0167499999999998</v>
      </c>
      <c r="O171" s="1"/>
    </row>
    <row r="172" spans="2:16" s="11" customFormat="1">
      <c r="B172" s="141"/>
      <c r="D172" s="142" t="s">
        <v>95</v>
      </c>
      <c r="E172" s="143" t="s">
        <v>2</v>
      </c>
      <c r="F172" s="144" t="s">
        <v>2406</v>
      </c>
      <c r="H172" s="145">
        <f>(2.905)*0.55*0.4</f>
        <v>0.6391</v>
      </c>
      <c r="O172" s="1"/>
    </row>
    <row r="173" spans="2:16" s="11" customFormat="1">
      <c r="B173" s="141"/>
      <c r="D173" s="142" t="s">
        <v>95</v>
      </c>
      <c r="E173" s="143" t="s">
        <v>2</v>
      </c>
      <c r="F173" s="144" t="s">
        <v>2407</v>
      </c>
      <c r="H173" s="145">
        <f>(2.905)*0.2*0.2</f>
        <v>0.1162</v>
      </c>
      <c r="O173" s="1"/>
    </row>
    <row r="174" spans="2:16" s="12" customFormat="1">
      <c r="B174" s="146"/>
      <c r="D174" s="142" t="s">
        <v>95</v>
      </c>
      <c r="E174" s="147" t="s">
        <v>2</v>
      </c>
      <c r="F174" s="148" t="s">
        <v>96</v>
      </c>
      <c r="H174" s="149">
        <f>SUM(H169:H173)</f>
        <v>5.2008000000000001</v>
      </c>
      <c r="O174" s="1"/>
    </row>
    <row r="175" spans="2:16" s="1" customFormat="1" ht="22.5" customHeight="1">
      <c r="B175" s="39"/>
      <c r="C175" s="135">
        <f>C168+1</f>
        <v>18</v>
      </c>
      <c r="D175" s="135" t="s">
        <v>65</v>
      </c>
      <c r="E175" s="136" t="s">
        <v>109</v>
      </c>
      <c r="F175" s="137" t="s">
        <v>110</v>
      </c>
      <c r="G175" s="138" t="s">
        <v>105</v>
      </c>
      <c r="H175" s="139">
        <f>H182</f>
        <v>20.9145</v>
      </c>
      <c r="I175" s="90"/>
      <c r="J175" s="140">
        <f>ROUND(I175*H175,2)</f>
        <v>0</v>
      </c>
      <c r="K175" s="137"/>
      <c r="P175" s="1">
        <f>H175*0.05</f>
        <v>1.045725</v>
      </c>
    </row>
    <row r="176" spans="2:16" s="11" customFormat="1">
      <c r="B176" s="141"/>
      <c r="D176" s="142" t="s">
        <v>95</v>
      </c>
      <c r="E176" s="143" t="s">
        <v>2</v>
      </c>
      <c r="F176" s="144" t="s">
        <v>2408</v>
      </c>
      <c r="H176" s="145">
        <f>(1.8+2.905+1.8+2.245+1.8)*0.5*2</f>
        <v>10.55</v>
      </c>
      <c r="O176" s="1"/>
    </row>
    <row r="177" spans="2:16" s="11" customFormat="1" ht="27">
      <c r="B177" s="141"/>
      <c r="D177" s="142" t="s">
        <v>95</v>
      </c>
      <c r="E177" s="143" t="s">
        <v>2</v>
      </c>
      <c r="F177" s="144" t="s">
        <v>2409</v>
      </c>
      <c r="H177" s="145">
        <f>(1.8+2.905+1.8+2.245+1.8)*(0.15+0.1)</f>
        <v>2.6375000000000002</v>
      </c>
      <c r="O177" s="1"/>
    </row>
    <row r="178" spans="2:16" s="11" customFormat="1">
      <c r="B178" s="141"/>
      <c r="D178" s="142" t="s">
        <v>95</v>
      </c>
      <c r="E178" s="143" t="s">
        <v>2</v>
      </c>
      <c r="F178" s="144" t="s">
        <v>2410</v>
      </c>
      <c r="H178" s="145">
        <f>(2.905)*0.5</f>
        <v>1.4524999999999999</v>
      </c>
      <c r="O178" s="1"/>
    </row>
    <row r="179" spans="2:16" s="11" customFormat="1">
      <c r="B179" s="141"/>
      <c r="D179" s="142" t="s">
        <v>95</v>
      </c>
      <c r="E179" s="143" t="s">
        <v>2</v>
      </c>
      <c r="F179" s="144" t="s">
        <v>2411</v>
      </c>
      <c r="H179" s="145">
        <f>(2.905)*0.4</f>
        <v>1.1619999999999999</v>
      </c>
      <c r="O179" s="1"/>
    </row>
    <row r="180" spans="2:16" s="11" customFormat="1">
      <c r="B180" s="141"/>
      <c r="D180" s="142" t="s">
        <v>95</v>
      </c>
      <c r="E180" s="143" t="s">
        <v>2</v>
      </c>
      <c r="F180" s="144" t="s">
        <v>2412</v>
      </c>
      <c r="H180" s="145">
        <f>(2.905)*0.5</f>
        <v>1.4524999999999999</v>
      </c>
      <c r="O180" s="1"/>
    </row>
    <row r="181" spans="2:16" s="11" customFormat="1">
      <c r="B181" s="141"/>
      <c r="D181" s="142" t="s">
        <v>95</v>
      </c>
      <c r="E181" s="143" t="s">
        <v>2</v>
      </c>
      <c r="F181" s="144" t="s">
        <v>996</v>
      </c>
      <c r="H181" s="145">
        <f>((0.3*0.75)+(0.6*1.15))*4</f>
        <v>3.6599999999999997</v>
      </c>
      <c r="O181" s="1"/>
    </row>
    <row r="182" spans="2:16" s="12" customFormat="1">
      <c r="B182" s="146"/>
      <c r="D182" s="142" t="s">
        <v>95</v>
      </c>
      <c r="E182" s="147" t="s">
        <v>2</v>
      </c>
      <c r="F182" s="148" t="s">
        <v>96</v>
      </c>
      <c r="H182" s="149">
        <f>SUM(H176:H181)</f>
        <v>20.9145</v>
      </c>
      <c r="O182" s="1"/>
    </row>
    <row r="183" spans="2:16" s="1" customFormat="1" ht="22.5" customHeight="1">
      <c r="B183" s="39"/>
      <c r="C183" s="135">
        <f>C175+1</f>
        <v>19</v>
      </c>
      <c r="D183" s="135" t="s">
        <v>65</v>
      </c>
      <c r="E183" s="136" t="s">
        <v>111</v>
      </c>
      <c r="F183" s="137" t="s">
        <v>112</v>
      </c>
      <c r="G183" s="138" t="s">
        <v>105</v>
      </c>
      <c r="H183" s="139">
        <f>H190</f>
        <v>20.9145</v>
      </c>
      <c r="I183" s="90"/>
      <c r="J183" s="140">
        <f>ROUND(I183*H183,2)</f>
        <v>0</v>
      </c>
      <c r="K183" s="137"/>
      <c r="P183" s="1">
        <f>H183*0.05</f>
        <v>1.045725</v>
      </c>
    </row>
    <row r="184" spans="2:16" s="11" customFormat="1">
      <c r="B184" s="141"/>
      <c r="D184" s="142" t="s">
        <v>95</v>
      </c>
      <c r="E184" s="143" t="s">
        <v>2</v>
      </c>
      <c r="F184" s="144" t="s">
        <v>2408</v>
      </c>
      <c r="H184" s="145">
        <f>(1.8+2.905+1.8+2.245+1.8)*0.5*2</f>
        <v>10.55</v>
      </c>
      <c r="O184" s="1"/>
    </row>
    <row r="185" spans="2:16" s="11" customFormat="1" ht="27">
      <c r="B185" s="141"/>
      <c r="D185" s="142" t="s">
        <v>95</v>
      </c>
      <c r="E185" s="143" t="s">
        <v>2</v>
      </c>
      <c r="F185" s="144" t="s">
        <v>2409</v>
      </c>
      <c r="H185" s="145">
        <f>(1.8+2.905+1.8+2.245+1.8)*(0.15+0.1)</f>
        <v>2.6375000000000002</v>
      </c>
      <c r="O185" s="1"/>
    </row>
    <row r="186" spans="2:16" s="11" customFormat="1">
      <c r="B186" s="141"/>
      <c r="D186" s="142" t="s">
        <v>95</v>
      </c>
      <c r="E186" s="143" t="s">
        <v>2</v>
      </c>
      <c r="F186" s="144" t="s">
        <v>2410</v>
      </c>
      <c r="H186" s="145">
        <f>(2.905)*0.5</f>
        <v>1.4524999999999999</v>
      </c>
      <c r="O186" s="1"/>
    </row>
    <row r="187" spans="2:16" s="11" customFormat="1">
      <c r="B187" s="141"/>
      <c r="D187" s="142" t="s">
        <v>95</v>
      </c>
      <c r="E187" s="143" t="s">
        <v>2</v>
      </c>
      <c r="F187" s="144" t="s">
        <v>2411</v>
      </c>
      <c r="H187" s="145">
        <f>(2.905)*0.4</f>
        <v>1.1619999999999999</v>
      </c>
      <c r="O187" s="1"/>
    </row>
    <row r="188" spans="2:16" s="11" customFormat="1">
      <c r="B188" s="141"/>
      <c r="D188" s="142" t="s">
        <v>95</v>
      </c>
      <c r="E188" s="143" t="s">
        <v>2</v>
      </c>
      <c r="F188" s="144" t="s">
        <v>2412</v>
      </c>
      <c r="H188" s="145">
        <f>(2.905)*0.5</f>
        <v>1.4524999999999999</v>
      </c>
      <c r="O188" s="1"/>
    </row>
    <row r="189" spans="2:16" s="11" customFormat="1">
      <c r="B189" s="141"/>
      <c r="D189" s="142" t="s">
        <v>95</v>
      </c>
      <c r="E189" s="143" t="s">
        <v>2</v>
      </c>
      <c r="F189" s="144" t="s">
        <v>996</v>
      </c>
      <c r="H189" s="145">
        <f>((0.3*0.75)+(0.6*1.15))*4</f>
        <v>3.6599999999999997</v>
      </c>
      <c r="O189" s="1"/>
    </row>
    <row r="190" spans="2:16" s="12" customFormat="1">
      <c r="B190" s="146"/>
      <c r="D190" s="142" t="s">
        <v>95</v>
      </c>
      <c r="E190" s="147" t="s">
        <v>2</v>
      </c>
      <c r="F190" s="148" t="s">
        <v>96</v>
      </c>
      <c r="H190" s="149">
        <f>SUM(H184:H189)</f>
        <v>20.9145</v>
      </c>
      <c r="O190" s="1"/>
    </row>
    <row r="191" spans="2:16" s="1" customFormat="1" ht="22.5" customHeight="1">
      <c r="B191" s="39"/>
      <c r="C191" s="135">
        <f>C183+1</f>
        <v>20</v>
      </c>
      <c r="D191" s="135" t="s">
        <v>65</v>
      </c>
      <c r="E191" s="136" t="s">
        <v>113</v>
      </c>
      <c r="F191" s="137" t="s">
        <v>114</v>
      </c>
      <c r="G191" s="138" t="s">
        <v>115</v>
      </c>
      <c r="H191" s="139">
        <f>H193</f>
        <v>8</v>
      </c>
      <c r="I191" s="90"/>
      <c r="J191" s="140">
        <f>ROUND(I191*H191,2)</f>
        <v>0</v>
      </c>
      <c r="K191" s="137"/>
      <c r="P191" s="1">
        <f>H191*0.025</f>
        <v>0.2</v>
      </c>
    </row>
    <row r="192" spans="2:16" s="11" customFormat="1">
      <c r="B192" s="141"/>
      <c r="D192" s="142" t="s">
        <v>95</v>
      </c>
      <c r="E192" s="143" t="s">
        <v>2</v>
      </c>
      <c r="F192" s="144" t="s">
        <v>2414</v>
      </c>
      <c r="H192" s="145">
        <f>8</f>
        <v>8</v>
      </c>
      <c r="O192" s="1"/>
    </row>
    <row r="193" spans="2:16" s="12" customFormat="1">
      <c r="B193" s="146"/>
      <c r="D193" s="142" t="s">
        <v>95</v>
      </c>
      <c r="E193" s="147" t="s">
        <v>2</v>
      </c>
      <c r="F193" s="148" t="s">
        <v>96</v>
      </c>
      <c r="H193" s="149">
        <f>SUM(H192:H192)</f>
        <v>8</v>
      </c>
      <c r="O193" s="1"/>
    </row>
    <row r="194" spans="2:16" s="1" customFormat="1" ht="22.5" customHeight="1">
      <c r="B194" s="39"/>
      <c r="C194" s="135">
        <f>C191+1</f>
        <v>21</v>
      </c>
      <c r="D194" s="135" t="s">
        <v>65</v>
      </c>
      <c r="E194" s="136" t="s">
        <v>141</v>
      </c>
      <c r="F194" s="137" t="s">
        <v>982</v>
      </c>
      <c r="G194" s="138" t="s">
        <v>101</v>
      </c>
      <c r="H194" s="139">
        <f>H196</f>
        <v>1.9359999999999999E-2</v>
      </c>
      <c r="I194" s="90"/>
      <c r="J194" s="140">
        <f>ROUND(I194*H194,2)</f>
        <v>0</v>
      </c>
      <c r="K194" s="137"/>
      <c r="P194" s="303">
        <f>H194</f>
        <v>1.9359999999999999E-2</v>
      </c>
    </row>
    <row r="195" spans="2:16" s="11" customFormat="1">
      <c r="B195" s="141"/>
      <c r="D195" s="142" t="s">
        <v>95</v>
      </c>
      <c r="E195" s="143" t="s">
        <v>2</v>
      </c>
      <c r="F195" s="144" t="s">
        <v>2413</v>
      </c>
      <c r="H195" s="145">
        <f>(1.21/1000)*1*2*8</f>
        <v>1.9359999999999999E-2</v>
      </c>
      <c r="O195" s="1"/>
    </row>
    <row r="196" spans="2:16" s="12" customFormat="1">
      <c r="B196" s="146"/>
      <c r="D196" s="142" t="s">
        <v>95</v>
      </c>
      <c r="E196" s="147" t="s">
        <v>2</v>
      </c>
      <c r="F196" s="148" t="s">
        <v>96</v>
      </c>
      <c r="H196" s="149">
        <f>SUM(H195:H195)</f>
        <v>1.9359999999999999E-2</v>
      </c>
      <c r="O196" s="1"/>
    </row>
    <row r="197" spans="2:16" s="1" customFormat="1" ht="22.5" customHeight="1">
      <c r="B197" s="39"/>
      <c r="C197" s="135">
        <f>C194+1</f>
        <v>22</v>
      </c>
      <c r="D197" s="135" t="s">
        <v>65</v>
      </c>
      <c r="E197" s="136" t="s">
        <v>121</v>
      </c>
      <c r="F197" s="137" t="s">
        <v>122</v>
      </c>
      <c r="G197" s="138" t="s">
        <v>101</v>
      </c>
      <c r="H197" s="139">
        <f>H199</f>
        <v>2.7824999999999999E-2</v>
      </c>
      <c r="I197" s="90"/>
      <c r="J197" s="140">
        <f>ROUND(I197*H197,2)</f>
        <v>0</v>
      </c>
      <c r="K197" s="137"/>
      <c r="P197" s="303">
        <f>H197</f>
        <v>2.7824999999999999E-2</v>
      </c>
    </row>
    <row r="198" spans="2:16" s="11" customFormat="1">
      <c r="B198" s="141"/>
      <c r="D198" s="142" t="s">
        <v>95</v>
      </c>
      <c r="E198" s="143" t="s">
        <v>2</v>
      </c>
      <c r="F198" s="144" t="s">
        <v>984</v>
      </c>
      <c r="H198" s="145">
        <f>(10.6/1000)*2.625</f>
        <v>2.7824999999999999E-2</v>
      </c>
      <c r="O198" s="1"/>
    </row>
    <row r="199" spans="2:16" s="12" customFormat="1">
      <c r="B199" s="146"/>
      <c r="D199" s="142" t="s">
        <v>95</v>
      </c>
      <c r="E199" s="147" t="s">
        <v>2</v>
      </c>
      <c r="F199" s="148" t="s">
        <v>96</v>
      </c>
      <c r="H199" s="149">
        <f>SUM(H198:H198)</f>
        <v>2.7824999999999999E-2</v>
      </c>
      <c r="O199" s="1"/>
    </row>
    <row r="200" spans="2:16" s="1" customFormat="1" ht="22.5" customHeight="1">
      <c r="B200" s="39"/>
      <c r="C200" s="150">
        <f>C197+1</f>
        <v>23</v>
      </c>
      <c r="D200" s="150" t="s">
        <v>123</v>
      </c>
      <c r="E200" s="151" t="s">
        <v>983</v>
      </c>
      <c r="F200" s="152" t="s">
        <v>1261</v>
      </c>
      <c r="G200" s="153" t="s">
        <v>101</v>
      </c>
      <c r="H200" s="154">
        <f>H202</f>
        <v>2.7824999999999999E-2</v>
      </c>
      <c r="I200" s="91"/>
      <c r="J200" s="155">
        <f>ROUND(I200*H200,2)</f>
        <v>0</v>
      </c>
      <c r="K200" s="152"/>
      <c r="P200" s="303">
        <f>H200</f>
        <v>2.7824999999999999E-2</v>
      </c>
    </row>
    <row r="201" spans="2:16" s="11" customFormat="1">
      <c r="B201" s="141"/>
      <c r="D201" s="142" t="s">
        <v>95</v>
      </c>
      <c r="E201" s="143" t="s">
        <v>2</v>
      </c>
      <c r="F201" s="144" t="s">
        <v>984</v>
      </c>
      <c r="H201" s="145">
        <f>(10.6/1000)*2.625</f>
        <v>2.7824999999999999E-2</v>
      </c>
      <c r="O201" s="1"/>
    </row>
    <row r="202" spans="2:16" s="12" customFormat="1">
      <c r="B202" s="146"/>
      <c r="D202" s="142" t="s">
        <v>95</v>
      </c>
      <c r="E202" s="147" t="s">
        <v>2</v>
      </c>
      <c r="F202" s="148" t="s">
        <v>96</v>
      </c>
      <c r="H202" s="149">
        <f>SUM(H201:H201)</f>
        <v>2.7824999999999999E-2</v>
      </c>
      <c r="O202" s="1"/>
    </row>
    <row r="203" spans="2:16" s="1" customFormat="1" ht="22.5" customHeight="1">
      <c r="B203" s="39"/>
      <c r="C203" s="135">
        <f>C200+1</f>
        <v>24</v>
      </c>
      <c r="D203" s="135" t="s">
        <v>65</v>
      </c>
      <c r="E203" s="136" t="s">
        <v>2425</v>
      </c>
      <c r="F203" s="137" t="s">
        <v>988</v>
      </c>
      <c r="G203" s="138" t="s">
        <v>105</v>
      </c>
      <c r="H203" s="139">
        <f>H205</f>
        <v>15.467499999999996</v>
      </c>
      <c r="I203" s="90"/>
      <c r="J203" s="140">
        <f>ROUND(I203*H203,2)</f>
        <v>0</v>
      </c>
      <c r="K203" s="137"/>
      <c r="P203" s="303">
        <f>H203*0.3*2.125</f>
        <v>9.8605312499999958</v>
      </c>
    </row>
    <row r="204" spans="2:16" s="11" customFormat="1" ht="27">
      <c r="B204" s="141"/>
      <c r="D204" s="142" t="s">
        <v>95</v>
      </c>
      <c r="E204" s="143" t="s">
        <v>2</v>
      </c>
      <c r="F204" s="144" t="s">
        <v>2449</v>
      </c>
      <c r="H204" s="145">
        <f>(2+2.905+2+2.245+2)*1.75-(2.245+1.8)*1</f>
        <v>15.467499999999996</v>
      </c>
      <c r="O204" s="1"/>
    </row>
    <row r="205" spans="2:16" s="12" customFormat="1">
      <c r="B205" s="146"/>
      <c r="D205" s="142" t="s">
        <v>95</v>
      </c>
      <c r="E205" s="147" t="s">
        <v>2</v>
      </c>
      <c r="F205" s="148" t="s">
        <v>96</v>
      </c>
      <c r="H205" s="149">
        <f>SUM(H204:H204)</f>
        <v>15.467499999999996</v>
      </c>
      <c r="O205" s="1"/>
    </row>
    <row r="206" spans="2:16" s="1" customFormat="1" ht="22.5" customHeight="1">
      <c r="B206" s="39"/>
      <c r="C206" s="135">
        <f>C203+1</f>
        <v>25</v>
      </c>
      <c r="D206" s="135" t="s">
        <v>65</v>
      </c>
      <c r="E206" s="136" t="s">
        <v>2415</v>
      </c>
      <c r="F206" s="137" t="s">
        <v>2416</v>
      </c>
      <c r="G206" s="138" t="s">
        <v>94</v>
      </c>
      <c r="H206" s="139">
        <f>H208</f>
        <v>3.0934999999999993</v>
      </c>
      <c r="I206" s="90"/>
      <c r="J206" s="140">
        <f>ROUND(I206*H206,2)</f>
        <v>0</v>
      </c>
      <c r="K206" s="137"/>
      <c r="P206" s="303">
        <f>H206*2.125</f>
        <v>6.5736874999999984</v>
      </c>
    </row>
    <row r="207" spans="2:16" s="11" customFormat="1" ht="27">
      <c r="B207" s="141"/>
      <c r="D207" s="142" t="s">
        <v>95</v>
      </c>
      <c r="E207" s="143" t="s">
        <v>2</v>
      </c>
      <c r="F207" s="144" t="s">
        <v>2450</v>
      </c>
      <c r="H207" s="145">
        <f>((2+2.905+2+2.245+2)*1.75-(2.245+1.8)*1)*0.2</f>
        <v>3.0934999999999993</v>
      </c>
      <c r="O207" s="1"/>
    </row>
    <row r="208" spans="2:16" s="12" customFormat="1">
      <c r="B208" s="146"/>
      <c r="D208" s="142" t="s">
        <v>95</v>
      </c>
      <c r="E208" s="147" t="s">
        <v>2</v>
      </c>
      <c r="F208" s="148" t="s">
        <v>96</v>
      </c>
      <c r="H208" s="149">
        <f>SUM(H207:H207)</f>
        <v>3.0934999999999993</v>
      </c>
      <c r="O208" s="1"/>
    </row>
    <row r="209" spans="2:16" s="1" customFormat="1" ht="22.5" customHeight="1">
      <c r="B209" s="39"/>
      <c r="C209" s="135">
        <f>C206+1</f>
        <v>26</v>
      </c>
      <c r="D209" s="135" t="s">
        <v>65</v>
      </c>
      <c r="E209" s="136" t="s">
        <v>989</v>
      </c>
      <c r="F209" s="137" t="s">
        <v>2417</v>
      </c>
      <c r="G209" s="138" t="s">
        <v>101</v>
      </c>
      <c r="H209" s="139">
        <f>H211</f>
        <v>0.18758249999999996</v>
      </c>
      <c r="I209" s="90"/>
      <c r="J209" s="140">
        <f>ROUND(I209*H209,2)</f>
        <v>0</v>
      </c>
      <c r="K209" s="137"/>
      <c r="P209" s="303">
        <f>H209</f>
        <v>0.18758249999999996</v>
      </c>
    </row>
    <row r="210" spans="2:16" s="11" customFormat="1" ht="27">
      <c r="B210" s="141"/>
      <c r="D210" s="142" t="s">
        <v>95</v>
      </c>
      <c r="E210" s="143"/>
      <c r="F210" s="144" t="s">
        <v>2451</v>
      </c>
      <c r="H210" s="145">
        <f>(((2+2.905+2+2.245+2)*(1.75+0.5)-(2.245+2)*1)*0.3)*0.03</f>
        <v>0.18758249999999996</v>
      </c>
      <c r="O210" s="1"/>
    </row>
    <row r="211" spans="2:16" s="12" customFormat="1">
      <c r="B211" s="146"/>
      <c r="D211" s="142" t="s">
        <v>95</v>
      </c>
      <c r="E211" s="147" t="s">
        <v>2</v>
      </c>
      <c r="F211" s="148" t="s">
        <v>96</v>
      </c>
      <c r="H211" s="149">
        <f>SUM(H210:H210)</f>
        <v>0.18758249999999996</v>
      </c>
      <c r="O211" s="1"/>
    </row>
    <row r="212" spans="2:16" s="10" customFormat="1" ht="29.85" customHeight="1">
      <c r="B212" s="128"/>
      <c r="D212" s="129" t="s">
        <v>39</v>
      </c>
      <c r="E212" s="133" t="s">
        <v>64</v>
      </c>
      <c r="F212" s="133" t="s">
        <v>116</v>
      </c>
      <c r="J212" s="134">
        <f>SUM(J213:J238)</f>
        <v>0</v>
      </c>
      <c r="O212"/>
    </row>
    <row r="213" spans="2:16" s="1" customFormat="1" ht="22.5" customHeight="1">
      <c r="B213" s="39"/>
      <c r="C213" s="135">
        <f>C209+1</f>
        <v>27</v>
      </c>
      <c r="D213" s="135" t="s">
        <v>65</v>
      </c>
      <c r="E213" s="136" t="s">
        <v>2418</v>
      </c>
      <c r="F213" s="137" t="s">
        <v>2419</v>
      </c>
      <c r="G213" s="138" t="s">
        <v>105</v>
      </c>
      <c r="H213" s="139">
        <f>H216</f>
        <v>94.907499999999999</v>
      </c>
      <c r="I213" s="90"/>
      <c r="J213" s="140">
        <f>ROUND(I213*H213,2)</f>
        <v>0</v>
      </c>
      <c r="K213" s="137"/>
      <c r="P213" s="303">
        <f>H213*0.3*2.125</f>
        <v>60.503531249999995</v>
      </c>
    </row>
    <row r="214" spans="2:16" s="11" customFormat="1">
      <c r="B214" s="141"/>
      <c r="D214" s="142" t="s">
        <v>95</v>
      </c>
      <c r="E214" s="143"/>
      <c r="F214" s="144" t="s">
        <v>2452</v>
      </c>
      <c r="H214" s="145">
        <f>(2+2.905+2)*11+(2.245+2)*3.5</f>
        <v>90.8125</v>
      </c>
      <c r="O214" s="1"/>
    </row>
    <row r="215" spans="2:16" s="11" customFormat="1">
      <c r="B215" s="141"/>
      <c r="D215" s="142" t="s">
        <v>95</v>
      </c>
      <c r="E215" s="143" t="s">
        <v>2</v>
      </c>
      <c r="F215" s="144" t="s">
        <v>2420</v>
      </c>
      <c r="H215" s="145">
        <f>(2.1*1.3*3)/2</f>
        <v>4.0950000000000006</v>
      </c>
      <c r="O215" s="1"/>
    </row>
    <row r="216" spans="2:16" s="12" customFormat="1">
      <c r="B216" s="146"/>
      <c r="D216" s="142" t="s">
        <v>95</v>
      </c>
      <c r="E216" s="147" t="s">
        <v>2</v>
      </c>
      <c r="F216" s="148" t="s">
        <v>96</v>
      </c>
      <c r="H216" s="149">
        <f>SUM(H214:H215)</f>
        <v>94.907499999999999</v>
      </c>
      <c r="O216" s="1"/>
    </row>
    <row r="217" spans="2:16" s="1" customFormat="1" ht="22.5" customHeight="1">
      <c r="B217" s="39"/>
      <c r="C217" s="135">
        <f>C213+1</f>
        <v>28</v>
      </c>
      <c r="D217" s="135" t="s">
        <v>65</v>
      </c>
      <c r="E217" s="136" t="s">
        <v>2421</v>
      </c>
      <c r="F217" s="137" t="s">
        <v>2422</v>
      </c>
      <c r="G217" s="138" t="s">
        <v>94</v>
      </c>
      <c r="H217" s="139">
        <f>H219</f>
        <v>18.9816</v>
      </c>
      <c r="I217" s="90"/>
      <c r="J217" s="140">
        <f>ROUND(I217*H217,2)</f>
        <v>0</v>
      </c>
      <c r="K217" s="137"/>
      <c r="P217" s="303">
        <f>H217*2.125</f>
        <v>40.335900000000002</v>
      </c>
    </row>
    <row r="218" spans="2:16" s="11" customFormat="1">
      <c r="B218" s="141"/>
      <c r="D218" s="142" t="s">
        <v>95</v>
      </c>
      <c r="E218" s="143" t="s">
        <v>2</v>
      </c>
      <c r="F218" s="144" t="s">
        <v>2453</v>
      </c>
      <c r="H218" s="145">
        <f>(94.908)*0.2</f>
        <v>18.9816</v>
      </c>
      <c r="O218" s="1"/>
    </row>
    <row r="219" spans="2:16" s="12" customFormat="1">
      <c r="B219" s="146"/>
      <c r="D219" s="142" t="s">
        <v>95</v>
      </c>
      <c r="E219" s="147" t="s">
        <v>2</v>
      </c>
      <c r="F219" s="148" t="s">
        <v>96</v>
      </c>
      <c r="H219" s="149">
        <f>SUM(H218:H218)</f>
        <v>18.9816</v>
      </c>
      <c r="O219" s="1"/>
    </row>
    <row r="220" spans="2:16" s="1" customFormat="1" ht="27">
      <c r="B220" s="39"/>
      <c r="C220" s="135">
        <f>C217+1</f>
        <v>29</v>
      </c>
      <c r="D220" s="135" t="s">
        <v>65</v>
      </c>
      <c r="E220" s="136" t="s">
        <v>2423</v>
      </c>
      <c r="F220" s="137" t="s">
        <v>2424</v>
      </c>
      <c r="G220" s="138" t="s">
        <v>101</v>
      </c>
      <c r="H220" s="139">
        <f>H222</f>
        <v>0.85417199999999993</v>
      </c>
      <c r="I220" s="90"/>
      <c r="J220" s="140">
        <f>ROUND(I220*H220,2)</f>
        <v>0</v>
      </c>
      <c r="K220" s="137"/>
      <c r="P220" s="303">
        <f>H220</f>
        <v>0.85417199999999993</v>
      </c>
    </row>
    <row r="221" spans="2:16" s="11" customFormat="1">
      <c r="B221" s="141"/>
      <c r="D221" s="142" t="s">
        <v>95</v>
      </c>
      <c r="E221" s="143"/>
      <c r="F221" s="144" t="s">
        <v>2454</v>
      </c>
      <c r="H221" s="145">
        <f>((94.908)*0.3)*0.03</f>
        <v>0.85417199999999993</v>
      </c>
      <c r="O221" s="1"/>
    </row>
    <row r="222" spans="2:16" s="12" customFormat="1">
      <c r="B222" s="146"/>
      <c r="D222" s="142" t="s">
        <v>95</v>
      </c>
      <c r="E222" s="147" t="s">
        <v>2</v>
      </c>
      <c r="F222" s="148" t="s">
        <v>96</v>
      </c>
      <c r="H222" s="149">
        <f>SUM(H221:H221)</f>
        <v>0.85417199999999993</v>
      </c>
      <c r="O222" s="1"/>
    </row>
    <row r="223" spans="2:16" s="1" customFormat="1" ht="27">
      <c r="B223" s="39"/>
      <c r="C223" s="135">
        <f>C220+1</f>
        <v>30</v>
      </c>
      <c r="D223" s="135" t="s">
        <v>65</v>
      </c>
      <c r="E223" s="136" t="s">
        <v>2426</v>
      </c>
      <c r="F223" s="137" t="s">
        <v>2427</v>
      </c>
      <c r="G223" s="138" t="s">
        <v>105</v>
      </c>
      <c r="H223" s="139">
        <f>H226</f>
        <v>3.0663599999999995</v>
      </c>
      <c r="I223" s="90"/>
      <c r="J223" s="140">
        <f>ROUND(I223*H223,2)</f>
        <v>0</v>
      </c>
      <c r="K223" s="137"/>
      <c r="P223" s="303">
        <f>H223*0.3*1.65</f>
        <v>1.5178481999999998</v>
      </c>
    </row>
    <row r="224" spans="2:16" s="11" customFormat="1" ht="27">
      <c r="B224" s="141"/>
      <c r="D224" s="142" t="s">
        <v>95</v>
      </c>
      <c r="E224" s="143" t="s">
        <v>2</v>
      </c>
      <c r="F224" s="144" t="s">
        <v>2455</v>
      </c>
      <c r="H224" s="145">
        <f>(((2.955+2.245)*0.16)*0.3*0.2)*1+((2*0.16)*0.3*0.2)*2*3</f>
        <v>0.16512000000000002</v>
      </c>
      <c r="O224" s="1"/>
    </row>
    <row r="225" spans="2:16" s="11" customFormat="1" ht="24" customHeight="1">
      <c r="B225" s="141"/>
      <c r="D225" s="142" t="s">
        <v>95</v>
      </c>
      <c r="E225" s="143" t="s">
        <v>2</v>
      </c>
      <c r="F225" s="144" t="s">
        <v>2428</v>
      </c>
      <c r="H225" s="145">
        <f>((11+3.5)*0.3)*2*0.3+(0.469+1.149)*0.3*2*0.3</f>
        <v>2.9012399999999996</v>
      </c>
      <c r="O225" s="1"/>
    </row>
    <row r="226" spans="2:16" s="12" customFormat="1">
      <c r="B226" s="146"/>
      <c r="D226" s="142" t="s">
        <v>95</v>
      </c>
      <c r="E226" s="147" t="s">
        <v>2</v>
      </c>
      <c r="F226" s="148" t="s">
        <v>96</v>
      </c>
      <c r="H226" s="149">
        <f>SUM(H224:H225)</f>
        <v>3.0663599999999995</v>
      </c>
      <c r="O226" s="1"/>
    </row>
    <row r="227" spans="2:16" s="1" customFormat="1" ht="22.5" customHeight="1">
      <c r="B227" s="39"/>
      <c r="C227" s="135">
        <f>C223+1</f>
        <v>31</v>
      </c>
      <c r="D227" s="135" t="s">
        <v>65</v>
      </c>
      <c r="E227" s="136" t="s">
        <v>117</v>
      </c>
      <c r="F227" s="137" t="s">
        <v>118</v>
      </c>
      <c r="G227" s="138" t="s">
        <v>105</v>
      </c>
      <c r="H227" s="139">
        <f>H229</f>
        <v>4.5936000000000003</v>
      </c>
      <c r="I227" s="90"/>
      <c r="J227" s="140">
        <f>ROUND(I227*H227,2)</f>
        <v>0</v>
      </c>
      <c r="K227" s="137"/>
      <c r="P227" s="1">
        <f>H227*0.05</f>
        <v>0.22968000000000002</v>
      </c>
    </row>
    <row r="228" spans="2:16" s="11" customFormat="1">
      <c r="B228" s="141"/>
      <c r="D228" s="142" t="s">
        <v>95</v>
      </c>
      <c r="E228" s="143" t="s">
        <v>2</v>
      </c>
      <c r="F228" s="144" t="s">
        <v>2456</v>
      </c>
      <c r="H228" s="145">
        <f>((2.245*0.16)*1+((2+0.54)*0.16))*2*3</f>
        <v>4.5936000000000003</v>
      </c>
      <c r="O228" s="1"/>
    </row>
    <row r="229" spans="2:16" s="12" customFormat="1">
      <c r="B229" s="146"/>
      <c r="D229" s="142" t="s">
        <v>95</v>
      </c>
      <c r="E229" s="147" t="s">
        <v>2</v>
      </c>
      <c r="F229" s="148" t="s">
        <v>96</v>
      </c>
      <c r="H229" s="149">
        <f>SUM(H228:H228)</f>
        <v>4.5936000000000003</v>
      </c>
      <c r="O229" s="1"/>
    </row>
    <row r="230" spans="2:16" s="1" customFormat="1" ht="22.5" customHeight="1">
      <c r="B230" s="39"/>
      <c r="C230" s="135">
        <f>C227+1</f>
        <v>32</v>
      </c>
      <c r="D230" s="135" t="s">
        <v>65</v>
      </c>
      <c r="E230" s="136" t="s">
        <v>119</v>
      </c>
      <c r="F230" s="137" t="s">
        <v>120</v>
      </c>
      <c r="G230" s="138" t="s">
        <v>105</v>
      </c>
      <c r="H230" s="139">
        <f>H232</f>
        <v>4.5936000000000003</v>
      </c>
      <c r="I230" s="90"/>
      <c r="J230" s="140">
        <f>ROUND(I230*H230,2)</f>
        <v>0</v>
      </c>
      <c r="K230" s="137"/>
      <c r="P230" s="1">
        <f>H230*0.05</f>
        <v>0.22968000000000002</v>
      </c>
    </row>
    <row r="231" spans="2:16" s="11" customFormat="1">
      <c r="B231" s="141"/>
      <c r="D231" s="142" t="s">
        <v>95</v>
      </c>
      <c r="E231" s="143" t="s">
        <v>2</v>
      </c>
      <c r="F231" s="144" t="s">
        <v>2456</v>
      </c>
      <c r="H231" s="145">
        <f>((2.245*0.16)*1+((2+0.54)*0.16))*2*3</f>
        <v>4.5936000000000003</v>
      </c>
      <c r="O231" s="1"/>
    </row>
    <row r="232" spans="2:16" s="12" customFormat="1">
      <c r="B232" s="146"/>
      <c r="D232" s="142" t="s">
        <v>95</v>
      </c>
      <c r="E232" s="147" t="s">
        <v>2</v>
      </c>
      <c r="F232" s="148" t="s">
        <v>96</v>
      </c>
      <c r="H232" s="149">
        <f>SUM(H231:H231)</f>
        <v>4.5936000000000003</v>
      </c>
      <c r="O232" s="1"/>
    </row>
    <row r="233" spans="2:16" s="1" customFormat="1" ht="22.5" customHeight="1">
      <c r="B233" s="39"/>
      <c r="C233" s="135">
        <f>C230+1</f>
        <v>33</v>
      </c>
      <c r="D233" s="135" t="s">
        <v>65</v>
      </c>
      <c r="E233" s="136" t="s">
        <v>124</v>
      </c>
      <c r="F233" s="137" t="s">
        <v>990</v>
      </c>
      <c r="G233" s="138" t="s">
        <v>105</v>
      </c>
      <c r="H233" s="139">
        <f>H235</f>
        <v>4.0752000000000006</v>
      </c>
      <c r="I233" s="90"/>
      <c r="J233" s="140">
        <f>ROUND(I233*H233,2)</f>
        <v>0</v>
      </c>
      <c r="K233" s="137"/>
      <c r="P233" s="1">
        <f>H233*0.065*1.69</f>
        <v>0.44766072000000012</v>
      </c>
    </row>
    <row r="234" spans="2:16" s="11" customFormat="1">
      <c r="B234" s="141"/>
      <c r="D234" s="142" t="s">
        <v>95</v>
      </c>
      <c r="E234" s="143" t="s">
        <v>2</v>
      </c>
      <c r="F234" s="144" t="s">
        <v>2457</v>
      </c>
      <c r="H234" s="145">
        <f>((2.245*0.16)*1+(2*0.16))*2*3</f>
        <v>4.0752000000000006</v>
      </c>
      <c r="O234" s="1"/>
    </row>
    <row r="235" spans="2:16" s="12" customFormat="1">
      <c r="B235" s="146"/>
      <c r="D235" s="142" t="s">
        <v>95</v>
      </c>
      <c r="E235" s="147" t="s">
        <v>2</v>
      </c>
      <c r="F235" s="148" t="s">
        <v>96</v>
      </c>
      <c r="H235" s="149">
        <f>SUM(H234:H234)</f>
        <v>4.0752000000000006</v>
      </c>
      <c r="O235" s="1"/>
    </row>
    <row r="236" spans="2:16" s="1" customFormat="1" ht="22.5" customHeight="1">
      <c r="B236" s="39"/>
      <c r="C236" s="135">
        <f>C233+1</f>
        <v>34</v>
      </c>
      <c r="D236" s="135" t="s">
        <v>65</v>
      </c>
      <c r="E236" s="136" t="s">
        <v>125</v>
      </c>
      <c r="F236" s="137" t="s">
        <v>991</v>
      </c>
      <c r="G236" s="138" t="s">
        <v>105</v>
      </c>
      <c r="H236" s="139">
        <f>H238</f>
        <v>4.0752000000000006</v>
      </c>
      <c r="I236" s="90"/>
      <c r="J236" s="140">
        <f>ROUND(I236*H236,2)</f>
        <v>0</v>
      </c>
      <c r="K236" s="137"/>
      <c r="P236" s="1">
        <f>H236*0.065*0.169</f>
        <v>4.4766072000000018E-2</v>
      </c>
    </row>
    <row r="237" spans="2:16" s="11" customFormat="1">
      <c r="B237" s="141"/>
      <c r="D237" s="142" t="s">
        <v>95</v>
      </c>
      <c r="E237" s="143" t="s">
        <v>2</v>
      </c>
      <c r="F237" s="144" t="s">
        <v>2457</v>
      </c>
      <c r="H237" s="145">
        <f>((2.245*0.16)*1+(2*0.16))*2*3</f>
        <v>4.0752000000000006</v>
      </c>
      <c r="O237" s="1"/>
    </row>
    <row r="238" spans="2:16" s="12" customFormat="1">
      <c r="B238" s="146"/>
      <c r="D238" s="142" t="s">
        <v>95</v>
      </c>
      <c r="E238" s="147" t="s">
        <v>2</v>
      </c>
      <c r="F238" s="148" t="s">
        <v>96</v>
      </c>
      <c r="H238" s="149">
        <f>SUM(H237:H237)</f>
        <v>4.0752000000000006</v>
      </c>
      <c r="O238" s="1"/>
    </row>
    <row r="239" spans="2:16" s="10" customFormat="1" ht="29.85" customHeight="1">
      <c r="B239" s="128"/>
      <c r="D239" s="129" t="s">
        <v>39</v>
      </c>
      <c r="E239" s="133" t="s">
        <v>67</v>
      </c>
      <c r="F239" s="133" t="s">
        <v>126</v>
      </c>
      <c r="J239" s="134">
        <f>SUM(J240:J327)</f>
        <v>0</v>
      </c>
      <c r="O239"/>
    </row>
    <row r="240" spans="2:16" s="1" customFormat="1" ht="22.5" customHeight="1">
      <c r="B240" s="39"/>
      <c r="C240" s="135">
        <f>C236+1</f>
        <v>35</v>
      </c>
      <c r="D240" s="135" t="s">
        <v>65</v>
      </c>
      <c r="E240" s="136" t="s">
        <v>127</v>
      </c>
      <c r="F240" s="137" t="s">
        <v>128</v>
      </c>
      <c r="G240" s="138" t="s">
        <v>105</v>
      </c>
      <c r="H240" s="139">
        <f>H244</f>
        <v>3.8115000000000001</v>
      </c>
      <c r="I240" s="90"/>
      <c r="J240" s="140">
        <f>ROUND(I240*H240,2)</f>
        <v>0</v>
      </c>
      <c r="K240" s="137"/>
      <c r="P240" s="1">
        <f>H240*0.05</f>
        <v>0.19057500000000002</v>
      </c>
    </row>
    <row r="241" spans="2:16" s="11" customFormat="1">
      <c r="B241" s="141"/>
      <c r="D241" s="142" t="s">
        <v>95</v>
      </c>
      <c r="E241" s="143" t="s">
        <v>2</v>
      </c>
      <c r="F241" s="144" t="s">
        <v>2430</v>
      </c>
      <c r="H241" s="145">
        <f>(2.4*0.3)*1</f>
        <v>0.72</v>
      </c>
      <c r="O241" s="1"/>
    </row>
    <row r="242" spans="2:16" s="11" customFormat="1">
      <c r="B242" s="141"/>
      <c r="D242" s="142" t="s">
        <v>95</v>
      </c>
      <c r="E242" s="143" t="s">
        <v>2</v>
      </c>
      <c r="F242" s="144" t="s">
        <v>2429</v>
      </c>
      <c r="H242" s="145">
        <f>(1.54*0.3)*1</f>
        <v>0.46199999999999997</v>
      </c>
      <c r="O242" s="1"/>
    </row>
    <row r="243" spans="2:16" s="11" customFormat="1" ht="27">
      <c r="B243" s="141"/>
      <c r="D243" s="142" t="s">
        <v>95</v>
      </c>
      <c r="E243" s="143" t="s">
        <v>2</v>
      </c>
      <c r="F243" s="144" t="s">
        <v>2431</v>
      </c>
      <c r="H243" s="145">
        <f>(1.54*0.55)*1+(1.54*0.5)*1+(2.025*0.5)*1</f>
        <v>2.6295000000000002</v>
      </c>
      <c r="O243" s="1"/>
    </row>
    <row r="244" spans="2:16" s="12" customFormat="1">
      <c r="B244" s="146"/>
      <c r="D244" s="142" t="s">
        <v>95</v>
      </c>
      <c r="E244" s="147" t="s">
        <v>2</v>
      </c>
      <c r="F244" s="148" t="s">
        <v>96</v>
      </c>
      <c r="H244" s="149">
        <f>SUM(H241:H243)</f>
        <v>3.8115000000000001</v>
      </c>
      <c r="O244" s="1"/>
    </row>
    <row r="245" spans="2:16" s="1" customFormat="1" ht="22.5" customHeight="1">
      <c r="B245" s="39"/>
      <c r="C245" s="135">
        <f>C240+1</f>
        <v>36</v>
      </c>
      <c r="D245" s="135" t="s">
        <v>65</v>
      </c>
      <c r="E245" s="136" t="s">
        <v>129</v>
      </c>
      <c r="F245" s="137" t="s">
        <v>130</v>
      </c>
      <c r="G245" s="138" t="s">
        <v>105</v>
      </c>
      <c r="H245" s="139">
        <f>H249</f>
        <v>3.8115000000000001</v>
      </c>
      <c r="I245" s="90"/>
      <c r="J245" s="140">
        <f>ROUND(I245*H245,2)</f>
        <v>0</v>
      </c>
      <c r="K245" s="137"/>
      <c r="P245" s="1">
        <f>H245*0.05</f>
        <v>0.19057500000000002</v>
      </c>
    </row>
    <row r="246" spans="2:16" s="11" customFormat="1">
      <c r="B246" s="141"/>
      <c r="D246" s="142" t="s">
        <v>95</v>
      </c>
      <c r="E246" s="143" t="s">
        <v>2</v>
      </c>
      <c r="F246" s="144" t="s">
        <v>2430</v>
      </c>
      <c r="H246" s="145">
        <f>(2.4*0.3)*1</f>
        <v>0.72</v>
      </c>
      <c r="O246" s="1"/>
    </row>
    <row r="247" spans="2:16" s="11" customFormat="1">
      <c r="B247" s="141"/>
      <c r="D247" s="142" t="s">
        <v>95</v>
      </c>
      <c r="E247" s="143" t="s">
        <v>2</v>
      </c>
      <c r="F247" s="144" t="s">
        <v>2429</v>
      </c>
      <c r="H247" s="145">
        <f>(1.54*0.3)*1</f>
        <v>0.46199999999999997</v>
      </c>
      <c r="O247" s="1"/>
    </row>
    <row r="248" spans="2:16" s="11" customFormat="1" ht="27">
      <c r="B248" s="141"/>
      <c r="D248" s="142" t="s">
        <v>95</v>
      </c>
      <c r="E248" s="143" t="s">
        <v>2</v>
      </c>
      <c r="F248" s="144" t="s">
        <v>2431</v>
      </c>
      <c r="H248" s="145">
        <f>(1.54*0.55)*1+(1.54*0.5)*1+(2.025*0.5)*1</f>
        <v>2.6295000000000002</v>
      </c>
      <c r="O248" s="1"/>
    </row>
    <row r="249" spans="2:16" s="12" customFormat="1">
      <c r="B249" s="146"/>
      <c r="D249" s="142" t="s">
        <v>95</v>
      </c>
      <c r="E249" s="147" t="s">
        <v>2</v>
      </c>
      <c r="F249" s="148" t="s">
        <v>96</v>
      </c>
      <c r="H249" s="149">
        <f>SUM(H246:H248)</f>
        <v>3.8115000000000001</v>
      </c>
      <c r="O249" s="1"/>
    </row>
    <row r="250" spans="2:16" s="1" customFormat="1" ht="22.5" customHeight="1">
      <c r="B250" s="39"/>
      <c r="C250" s="135">
        <f>C245+1</f>
        <v>37</v>
      </c>
      <c r="D250" s="135" t="s">
        <v>65</v>
      </c>
      <c r="E250" s="136" t="s">
        <v>131</v>
      </c>
      <c r="F250" s="137" t="s">
        <v>132</v>
      </c>
      <c r="G250" s="138" t="s">
        <v>105</v>
      </c>
      <c r="H250" s="139">
        <f>H254</f>
        <v>21.770099999999999</v>
      </c>
      <c r="I250" s="90"/>
      <c r="J250" s="140">
        <f>ROUND(I250*H250,2)</f>
        <v>0</v>
      </c>
      <c r="K250" s="137"/>
      <c r="P250" s="1">
        <f>H250*0.03</f>
        <v>0.65310299999999999</v>
      </c>
    </row>
    <row r="251" spans="2:16" s="11" customFormat="1">
      <c r="B251" s="141"/>
      <c r="D251" s="142" t="s">
        <v>95</v>
      </c>
      <c r="E251" s="143" t="s">
        <v>2</v>
      </c>
      <c r="F251" s="144" t="s">
        <v>2434</v>
      </c>
      <c r="H251" s="145">
        <f>(2.4*3.035)*1</f>
        <v>7.2839999999999998</v>
      </c>
      <c r="O251" s="1"/>
    </row>
    <row r="252" spans="2:16" s="11" customFormat="1">
      <c r="B252" s="141"/>
      <c r="D252" s="142" t="s">
        <v>95</v>
      </c>
      <c r="E252" s="143" t="s">
        <v>2</v>
      </c>
      <c r="F252" s="144" t="s">
        <v>2433</v>
      </c>
      <c r="H252" s="145">
        <f>(1.54*2.18)*1</f>
        <v>3.3572000000000002</v>
      </c>
      <c r="O252" s="1"/>
    </row>
    <row r="253" spans="2:16" s="11" customFormat="1">
      <c r="B253" s="141"/>
      <c r="D253" s="142" t="s">
        <v>95</v>
      </c>
      <c r="E253" s="143" t="s">
        <v>2</v>
      </c>
      <c r="F253" s="144" t="s">
        <v>2432</v>
      </c>
      <c r="H253" s="145">
        <f>(1.54*2.18)*2+(2.025*2.18)*1</f>
        <v>11.128900000000002</v>
      </c>
      <c r="O253" s="1"/>
    </row>
    <row r="254" spans="2:16" s="12" customFormat="1">
      <c r="B254" s="146"/>
      <c r="D254" s="142" t="s">
        <v>95</v>
      </c>
      <c r="E254" s="147" t="s">
        <v>2</v>
      </c>
      <c r="F254" s="148" t="s">
        <v>96</v>
      </c>
      <c r="H254" s="149">
        <f>SUM(H251:H253)</f>
        <v>21.770099999999999</v>
      </c>
      <c r="O254" s="1"/>
    </row>
    <row r="255" spans="2:16" s="1" customFormat="1" ht="22.5" customHeight="1">
      <c r="B255" s="39"/>
      <c r="C255" s="135">
        <f>C250+1</f>
        <v>38</v>
      </c>
      <c r="D255" s="135" t="s">
        <v>65</v>
      </c>
      <c r="E255" s="136" t="s">
        <v>133</v>
      </c>
      <c r="F255" s="137" t="s">
        <v>134</v>
      </c>
      <c r="G255" s="138" t="s">
        <v>105</v>
      </c>
      <c r="H255" s="139">
        <f>H259</f>
        <v>21.770099999999999</v>
      </c>
      <c r="I255" s="90"/>
      <c r="J255" s="140">
        <f>ROUND(I255*H255,2)</f>
        <v>0</v>
      </c>
      <c r="K255" s="137"/>
      <c r="P255" s="1">
        <f>H255*0.03</f>
        <v>0.65310299999999999</v>
      </c>
    </row>
    <row r="256" spans="2:16" s="11" customFormat="1">
      <c r="B256" s="141"/>
      <c r="D256" s="142" t="s">
        <v>95</v>
      </c>
      <c r="E256" s="143" t="s">
        <v>2</v>
      </c>
      <c r="F256" s="144" t="s">
        <v>2434</v>
      </c>
      <c r="H256" s="145">
        <f>(2.4*3.035)*1</f>
        <v>7.2839999999999998</v>
      </c>
      <c r="O256" s="1"/>
    </row>
    <row r="257" spans="2:16" s="11" customFormat="1">
      <c r="B257" s="141"/>
      <c r="D257" s="142" t="s">
        <v>95</v>
      </c>
      <c r="E257" s="143" t="s">
        <v>2</v>
      </c>
      <c r="F257" s="144" t="s">
        <v>2433</v>
      </c>
      <c r="H257" s="145">
        <f>(1.54*2.18)*1</f>
        <v>3.3572000000000002</v>
      </c>
      <c r="O257" s="1"/>
    </row>
    <row r="258" spans="2:16" s="11" customFormat="1">
      <c r="B258" s="141"/>
      <c r="D258" s="142" t="s">
        <v>95</v>
      </c>
      <c r="E258" s="143" t="s">
        <v>2</v>
      </c>
      <c r="F258" s="144" t="s">
        <v>2432</v>
      </c>
      <c r="H258" s="145">
        <f>(1.54*2.18)*2+(2.025*2.18)*1</f>
        <v>11.128900000000002</v>
      </c>
      <c r="O258" s="1"/>
    </row>
    <row r="259" spans="2:16" s="12" customFormat="1">
      <c r="B259" s="146"/>
      <c r="D259" s="142" t="s">
        <v>95</v>
      </c>
      <c r="E259" s="147" t="s">
        <v>2</v>
      </c>
      <c r="F259" s="148" t="s">
        <v>96</v>
      </c>
      <c r="H259" s="149">
        <f>SUM(H256:H258)</f>
        <v>21.770099999999999</v>
      </c>
      <c r="O259" s="1"/>
    </row>
    <row r="260" spans="2:16" s="1" customFormat="1" ht="31.5" customHeight="1">
      <c r="B260" s="39"/>
      <c r="C260" s="135">
        <f>C255+1</f>
        <v>39</v>
      </c>
      <c r="D260" s="135" t="s">
        <v>65</v>
      </c>
      <c r="E260" s="136" t="s">
        <v>135</v>
      </c>
      <c r="F260" s="137" t="s">
        <v>992</v>
      </c>
      <c r="G260" s="138" t="s">
        <v>105</v>
      </c>
      <c r="H260" s="139">
        <f>H264</f>
        <v>21.770099999999999</v>
      </c>
      <c r="I260" s="90"/>
      <c r="J260" s="140">
        <f>ROUND(I260*H260,2)</f>
        <v>0</v>
      </c>
      <c r="K260" s="137"/>
      <c r="P260" s="1">
        <f>H260*0.025</f>
        <v>0.54425250000000003</v>
      </c>
    </row>
    <row r="261" spans="2:16" s="11" customFormat="1">
      <c r="B261" s="141"/>
      <c r="D261" s="142" t="s">
        <v>95</v>
      </c>
      <c r="E261" s="143" t="s">
        <v>2</v>
      </c>
      <c r="F261" s="144" t="s">
        <v>2434</v>
      </c>
      <c r="H261" s="145">
        <f>(2.4*3.035)*1</f>
        <v>7.2839999999999998</v>
      </c>
      <c r="O261" s="1"/>
    </row>
    <row r="262" spans="2:16" s="11" customFormat="1">
      <c r="B262" s="141"/>
      <c r="D262" s="142" t="s">
        <v>95</v>
      </c>
      <c r="E262" s="143" t="s">
        <v>2</v>
      </c>
      <c r="F262" s="144" t="s">
        <v>2433</v>
      </c>
      <c r="H262" s="145">
        <f>(1.54*2.18)*1</f>
        <v>3.3572000000000002</v>
      </c>
      <c r="O262" s="1"/>
    </row>
    <row r="263" spans="2:16" s="11" customFormat="1">
      <c r="B263" s="141"/>
      <c r="D263" s="142" t="s">
        <v>95</v>
      </c>
      <c r="E263" s="143" t="s">
        <v>2</v>
      </c>
      <c r="F263" s="144" t="s">
        <v>2432</v>
      </c>
      <c r="H263" s="145">
        <f>(1.54*2.18)*2+(2.025*2.18)*1</f>
        <v>11.128900000000002</v>
      </c>
      <c r="O263" s="1"/>
    </row>
    <row r="264" spans="2:16" s="12" customFormat="1">
      <c r="B264" s="146"/>
      <c r="D264" s="142" t="s">
        <v>95</v>
      </c>
      <c r="E264" s="147" t="s">
        <v>2</v>
      </c>
      <c r="F264" s="148" t="s">
        <v>96</v>
      </c>
      <c r="H264" s="149">
        <f>SUM(H261:H263)</f>
        <v>21.770099999999999</v>
      </c>
      <c r="O264" s="1"/>
    </row>
    <row r="265" spans="2:16" s="1" customFormat="1" ht="31.5" customHeight="1">
      <c r="B265" s="39"/>
      <c r="C265" s="135">
        <f>C260+1</f>
        <v>40</v>
      </c>
      <c r="D265" s="135" t="s">
        <v>65</v>
      </c>
      <c r="E265" s="136" t="s">
        <v>136</v>
      </c>
      <c r="F265" s="137" t="s">
        <v>993</v>
      </c>
      <c r="G265" s="138" t="s">
        <v>105</v>
      </c>
      <c r="H265" s="139">
        <f>H269</f>
        <v>21.770099999999999</v>
      </c>
      <c r="I265" s="90"/>
      <c r="J265" s="140">
        <f>ROUND(I265*H265,2)</f>
        <v>0</v>
      </c>
      <c r="K265" s="137"/>
      <c r="P265" s="1">
        <f>H265*0.025</f>
        <v>0.54425250000000003</v>
      </c>
    </row>
    <row r="266" spans="2:16" s="11" customFormat="1">
      <c r="B266" s="141"/>
      <c r="D266" s="142" t="s">
        <v>95</v>
      </c>
      <c r="E266" s="143" t="s">
        <v>2</v>
      </c>
      <c r="F266" s="144" t="s">
        <v>2434</v>
      </c>
      <c r="H266" s="145">
        <f>(2.4*3.035)*1</f>
        <v>7.2839999999999998</v>
      </c>
      <c r="O266" s="1"/>
    </row>
    <row r="267" spans="2:16" s="11" customFormat="1">
      <c r="B267" s="141"/>
      <c r="D267" s="142" t="s">
        <v>95</v>
      </c>
      <c r="E267" s="143" t="s">
        <v>2</v>
      </c>
      <c r="F267" s="144" t="s">
        <v>2433</v>
      </c>
      <c r="H267" s="145">
        <f>(1.54*2.18)*1</f>
        <v>3.3572000000000002</v>
      </c>
      <c r="O267" s="1"/>
    </row>
    <row r="268" spans="2:16" s="11" customFormat="1">
      <c r="B268" s="141"/>
      <c r="D268" s="142" t="s">
        <v>95</v>
      </c>
      <c r="E268" s="143" t="s">
        <v>2</v>
      </c>
      <c r="F268" s="144" t="s">
        <v>2432</v>
      </c>
      <c r="H268" s="145">
        <f>(1.54*2.18)*2+(2.025*2.18)*1</f>
        <v>11.128900000000002</v>
      </c>
      <c r="O268" s="1"/>
    </row>
    <row r="269" spans="2:16" s="12" customFormat="1">
      <c r="B269" s="146"/>
      <c r="D269" s="142" t="s">
        <v>95</v>
      </c>
      <c r="E269" s="147" t="s">
        <v>2</v>
      </c>
      <c r="F269" s="148" t="s">
        <v>96</v>
      </c>
      <c r="H269" s="149">
        <f>SUM(H266:H268)</f>
        <v>21.770099999999999</v>
      </c>
      <c r="O269" s="1"/>
    </row>
    <row r="270" spans="2:16" s="1" customFormat="1" ht="22.5" customHeight="1">
      <c r="B270" s="39"/>
      <c r="C270" s="135">
        <f>C265+1</f>
        <v>41</v>
      </c>
      <c r="D270" s="135" t="s">
        <v>65</v>
      </c>
      <c r="E270" s="136" t="s">
        <v>994</v>
      </c>
      <c r="F270" s="137" t="s">
        <v>995</v>
      </c>
      <c r="G270" s="138" t="s">
        <v>94</v>
      </c>
      <c r="H270" s="139">
        <f>H272</f>
        <v>1.55</v>
      </c>
      <c r="I270" s="90"/>
      <c r="J270" s="140">
        <f>ROUND(I270*H270,2)</f>
        <v>0</v>
      </c>
      <c r="K270" s="137"/>
      <c r="P270" s="1">
        <f>H270*2.43</f>
        <v>3.7665000000000002</v>
      </c>
    </row>
    <row r="271" spans="2:16" s="11" customFormat="1">
      <c r="B271" s="141"/>
      <c r="D271" s="142" t="s">
        <v>95</v>
      </c>
      <c r="E271" s="143" t="s">
        <v>2</v>
      </c>
      <c r="F271" s="144" t="s">
        <v>2435</v>
      </c>
      <c r="H271" s="145">
        <f>((0.25*0.25)*(0.5+2.955+2.245+0.5))*4</f>
        <v>1.55</v>
      </c>
      <c r="O271" s="1"/>
    </row>
    <row r="272" spans="2:16" s="12" customFormat="1">
      <c r="B272" s="146"/>
      <c r="D272" s="142" t="s">
        <v>95</v>
      </c>
      <c r="E272" s="147" t="s">
        <v>2</v>
      </c>
      <c r="F272" s="148" t="s">
        <v>96</v>
      </c>
      <c r="H272" s="149">
        <f>SUM(H271:H271)</f>
        <v>1.55</v>
      </c>
      <c r="O272" s="1"/>
    </row>
    <row r="273" spans="2:16" s="1" customFormat="1" ht="22.5" customHeight="1">
      <c r="B273" s="39"/>
      <c r="C273" s="135">
        <f>C270+1</f>
        <v>42</v>
      </c>
      <c r="D273" s="135" t="s">
        <v>65</v>
      </c>
      <c r="E273" s="136" t="s">
        <v>137</v>
      </c>
      <c r="F273" s="137" t="s">
        <v>138</v>
      </c>
      <c r="G273" s="138" t="s">
        <v>105</v>
      </c>
      <c r="H273" s="139">
        <f>H275</f>
        <v>12.4</v>
      </c>
      <c r="I273" s="90"/>
      <c r="J273" s="140">
        <f>ROUND(I273*H273,2)</f>
        <v>0</v>
      </c>
      <c r="K273" s="137"/>
      <c r="P273" s="1">
        <f>H273*0.05</f>
        <v>0.62000000000000011</v>
      </c>
    </row>
    <row r="274" spans="2:16" s="11" customFormat="1">
      <c r="B274" s="141"/>
      <c r="D274" s="142" t="s">
        <v>95</v>
      </c>
      <c r="E274" s="143" t="s">
        <v>2</v>
      </c>
      <c r="F274" s="144" t="s">
        <v>2436</v>
      </c>
      <c r="H274" s="145">
        <f>((0.25)*(0.5+2.955+2.245+0.5)*2)*4</f>
        <v>12.4</v>
      </c>
      <c r="O274" s="1"/>
    </row>
    <row r="275" spans="2:16" s="12" customFormat="1">
      <c r="B275" s="146"/>
      <c r="D275" s="142" t="s">
        <v>95</v>
      </c>
      <c r="E275" s="147" t="s">
        <v>2</v>
      </c>
      <c r="F275" s="148" t="s">
        <v>96</v>
      </c>
      <c r="H275" s="149">
        <f>SUM(H274:H274)</f>
        <v>12.4</v>
      </c>
      <c r="O275" s="1"/>
    </row>
    <row r="276" spans="2:16" s="1" customFormat="1" ht="22.5" customHeight="1">
      <c r="B276" s="39"/>
      <c r="C276" s="135">
        <f>C273+1</f>
        <v>43</v>
      </c>
      <c r="D276" s="135" t="s">
        <v>65</v>
      </c>
      <c r="E276" s="136" t="s">
        <v>139</v>
      </c>
      <c r="F276" s="137" t="s">
        <v>140</v>
      </c>
      <c r="G276" s="138" t="s">
        <v>105</v>
      </c>
      <c r="H276" s="139">
        <f>H278</f>
        <v>12.4</v>
      </c>
      <c r="I276" s="90"/>
      <c r="J276" s="140">
        <f>ROUND(I276*H276,2)</f>
        <v>0</v>
      </c>
      <c r="K276" s="137"/>
      <c r="P276" s="1">
        <f>H276*0.05</f>
        <v>0.62000000000000011</v>
      </c>
    </row>
    <row r="277" spans="2:16" s="11" customFormat="1">
      <c r="B277" s="141"/>
      <c r="D277" s="142" t="s">
        <v>95</v>
      </c>
      <c r="E277" s="143" t="s">
        <v>2</v>
      </c>
      <c r="F277" s="144" t="s">
        <v>2436</v>
      </c>
      <c r="H277" s="145">
        <f>((0.25)*(0.5+2.955+2.245+0.5)*2)*4</f>
        <v>12.4</v>
      </c>
      <c r="O277" s="1"/>
    </row>
    <row r="278" spans="2:16" s="12" customFormat="1">
      <c r="B278" s="146"/>
      <c r="D278" s="142" t="s">
        <v>95</v>
      </c>
      <c r="E278" s="147" t="s">
        <v>2</v>
      </c>
      <c r="F278" s="148" t="s">
        <v>96</v>
      </c>
      <c r="H278" s="149">
        <f>SUM(H277:H277)</f>
        <v>12.4</v>
      </c>
      <c r="O278" s="1"/>
    </row>
    <row r="279" spans="2:16" s="12" customFormat="1" ht="28.9" customHeight="1">
      <c r="B279" s="146"/>
      <c r="C279" s="135">
        <f>C276+1</f>
        <v>44</v>
      </c>
      <c r="D279" s="304" t="s">
        <v>65</v>
      </c>
      <c r="E279" s="305" t="s">
        <v>1348</v>
      </c>
      <c r="F279" s="306" t="s">
        <v>1356</v>
      </c>
      <c r="G279" s="307" t="s">
        <v>101</v>
      </c>
      <c r="H279" s="139">
        <f>H292</f>
        <v>0.98145280000000001</v>
      </c>
      <c r="I279" s="90"/>
      <c r="J279" s="140">
        <f>ROUND(I279*H279,2)</f>
        <v>0</v>
      </c>
      <c r="K279" s="137"/>
      <c r="O279" s="1"/>
      <c r="P279" s="344">
        <f>H279</f>
        <v>0.98145280000000001</v>
      </c>
    </row>
    <row r="280" spans="2:16" s="11" customFormat="1" ht="24" customHeight="1">
      <c r="B280" s="141"/>
      <c r="D280" s="142" t="s">
        <v>95</v>
      </c>
      <c r="E280" s="143" t="s">
        <v>2</v>
      </c>
      <c r="F280" s="144" t="s">
        <v>2437</v>
      </c>
      <c r="H280" s="145">
        <f>(2.4*0.0219)*2</f>
        <v>0.10511999999999999</v>
      </c>
      <c r="O280" s="1"/>
    </row>
    <row r="281" spans="2:16" s="11" customFormat="1" ht="24" customHeight="1">
      <c r="B281" s="141"/>
      <c r="D281" s="142" t="s">
        <v>95</v>
      </c>
      <c r="E281" s="143" t="s">
        <v>2</v>
      </c>
      <c r="F281" s="144" t="s">
        <v>1352</v>
      </c>
      <c r="H281" s="145">
        <f>(1.54*0.0179)*2</f>
        <v>5.5132E-2</v>
      </c>
      <c r="O281" s="1"/>
    </row>
    <row r="282" spans="2:16" s="11" customFormat="1" ht="24" customHeight="1">
      <c r="B282" s="141"/>
      <c r="D282" s="142" t="s">
        <v>95</v>
      </c>
      <c r="E282" s="143" t="s">
        <v>2</v>
      </c>
      <c r="F282" s="144" t="s">
        <v>1351</v>
      </c>
      <c r="H282" s="145">
        <f>(1.54*0.0179)*3</f>
        <v>8.2697999999999994E-2</v>
      </c>
      <c r="O282" s="1"/>
    </row>
    <row r="283" spans="2:16" s="11" customFormat="1" ht="24" customHeight="1">
      <c r="B283" s="141"/>
      <c r="D283" s="142" t="s">
        <v>95</v>
      </c>
      <c r="E283" s="143" t="s">
        <v>2</v>
      </c>
      <c r="F283" s="144" t="s">
        <v>1350</v>
      </c>
      <c r="H283" s="145">
        <f>(1.54*0.0179)*3</f>
        <v>8.2697999999999994E-2</v>
      </c>
      <c r="O283" s="1"/>
    </row>
    <row r="284" spans="2:16" s="11" customFormat="1" ht="24" customHeight="1">
      <c r="B284" s="141"/>
      <c r="D284" s="142" t="s">
        <v>95</v>
      </c>
      <c r="E284" s="143" t="s">
        <v>2</v>
      </c>
      <c r="F284" s="144" t="s">
        <v>2438</v>
      </c>
      <c r="H284" s="145">
        <f>(2.025*0.0179)*3</f>
        <v>0.10874249999999999</v>
      </c>
      <c r="O284" s="1"/>
    </row>
    <row r="285" spans="2:16" s="11" customFormat="1" ht="24" customHeight="1">
      <c r="B285" s="141"/>
      <c r="D285" s="142" t="s">
        <v>95</v>
      </c>
      <c r="E285" s="143" t="s">
        <v>2</v>
      </c>
      <c r="F285" s="144" t="s">
        <v>2439</v>
      </c>
      <c r="H285" s="145">
        <f>(1.97*0.0135)*1</f>
        <v>2.6595000000000001E-2</v>
      </c>
      <c r="O285" s="1"/>
    </row>
    <row r="286" spans="2:16" s="11" customFormat="1" ht="24" customHeight="1">
      <c r="B286" s="141"/>
      <c r="D286" s="142" t="s">
        <v>95</v>
      </c>
      <c r="E286" s="143" t="s">
        <v>2</v>
      </c>
      <c r="F286" s="144" t="s">
        <v>2440</v>
      </c>
      <c r="H286" s="145">
        <f>(2.45*0.0219)*2</f>
        <v>0.10731</v>
      </c>
      <c r="O286" s="1"/>
    </row>
    <row r="287" spans="2:16" s="11" customFormat="1" ht="24" customHeight="1">
      <c r="B287" s="141"/>
      <c r="D287" s="142" t="s">
        <v>95</v>
      </c>
      <c r="E287" s="143" t="s">
        <v>2</v>
      </c>
      <c r="F287" s="144" t="s">
        <v>1349</v>
      </c>
      <c r="H287" s="145">
        <f>(1*0.0144)*3</f>
        <v>4.3200000000000002E-2</v>
      </c>
      <c r="O287" s="1"/>
    </row>
    <row r="288" spans="2:16" s="11" customFormat="1" ht="24" customHeight="1">
      <c r="B288" s="141"/>
      <c r="D288" s="142" t="s">
        <v>95</v>
      </c>
      <c r="E288" s="143" t="s">
        <v>2</v>
      </c>
      <c r="F288" s="144" t="s">
        <v>1353</v>
      </c>
      <c r="H288" s="145">
        <f>(1*0.0144)*3</f>
        <v>4.3200000000000002E-2</v>
      </c>
      <c r="O288" s="1"/>
    </row>
    <row r="289" spans="2:16" s="11" customFormat="1" ht="40.9" customHeight="1">
      <c r="B289" s="141"/>
      <c r="D289" s="142" t="s">
        <v>95</v>
      </c>
      <c r="E289" s="143" t="s">
        <v>2</v>
      </c>
      <c r="F289" s="144" t="s">
        <v>2600</v>
      </c>
      <c r="H289" s="145">
        <f>(2.665*0.0219)*1+(0.5*0.011+0.025)*2</f>
        <v>0.1193635</v>
      </c>
      <c r="O289" s="1"/>
    </row>
    <row r="290" spans="2:16" s="11" customFormat="1" ht="40.9" customHeight="1">
      <c r="B290" s="141"/>
      <c r="D290" s="142" t="s">
        <v>95</v>
      </c>
      <c r="E290" s="143" t="s">
        <v>2</v>
      </c>
      <c r="F290" s="144" t="s">
        <v>2601</v>
      </c>
      <c r="H290" s="145">
        <f>(1.222*0.0179)*1+(0.5*0.011+0.025)*1</f>
        <v>5.2373799999999998E-2</v>
      </c>
      <c r="O290" s="1"/>
    </row>
    <row r="291" spans="2:16" s="11" customFormat="1" ht="24" customHeight="1">
      <c r="B291" s="141"/>
      <c r="D291" s="142" t="s">
        <v>95</v>
      </c>
      <c r="E291" s="143" t="s">
        <v>2</v>
      </c>
      <c r="F291" s="144" t="s">
        <v>2441</v>
      </c>
      <c r="H291" s="145">
        <f>(2.3*0.0337)*2</f>
        <v>0.15501999999999999</v>
      </c>
      <c r="O291" s="1"/>
    </row>
    <row r="292" spans="2:16" s="12" customFormat="1">
      <c r="B292" s="146"/>
      <c r="D292" s="142" t="s">
        <v>95</v>
      </c>
      <c r="E292" s="147" t="s">
        <v>2</v>
      </c>
      <c r="F292" s="148" t="s">
        <v>96</v>
      </c>
      <c r="H292" s="149">
        <f>SUM(H280:H291)</f>
        <v>0.98145280000000001</v>
      </c>
      <c r="O292" s="1"/>
    </row>
    <row r="293" spans="2:16" s="12" customFormat="1" ht="28.9" customHeight="1">
      <c r="B293" s="146"/>
      <c r="C293" s="135">
        <f>C279+1</f>
        <v>45</v>
      </c>
      <c r="D293" s="304" t="s">
        <v>65</v>
      </c>
      <c r="E293" s="305" t="s">
        <v>1354</v>
      </c>
      <c r="F293" s="306" t="s">
        <v>1376</v>
      </c>
      <c r="G293" s="307" t="s">
        <v>94</v>
      </c>
      <c r="H293" s="139">
        <f>H302</f>
        <v>1.1681999999999999</v>
      </c>
      <c r="I293" s="90"/>
      <c r="J293" s="140">
        <f>ROUND(I293*H293,2)</f>
        <v>0</v>
      </c>
      <c r="K293" s="137"/>
      <c r="O293" s="1"/>
      <c r="P293" s="163">
        <f>H293*2.25</f>
        <v>2.62845</v>
      </c>
    </row>
    <row r="294" spans="2:16" s="11" customFormat="1">
      <c r="B294" s="141"/>
      <c r="D294" s="142" t="s">
        <v>95</v>
      </c>
      <c r="E294" s="143" t="s">
        <v>2</v>
      </c>
      <c r="F294" s="144" t="s">
        <v>2444</v>
      </c>
      <c r="H294" s="145">
        <f>(2.4*0.18*0.3)*0.75</f>
        <v>9.7199999999999995E-2</v>
      </c>
      <c r="O294" s="1"/>
    </row>
    <row r="295" spans="2:16" s="11" customFormat="1">
      <c r="B295" s="141"/>
      <c r="D295" s="142" t="s">
        <v>95</v>
      </c>
      <c r="E295" s="143" t="s">
        <v>2</v>
      </c>
      <c r="F295" s="144" t="s">
        <v>1362</v>
      </c>
      <c r="H295" s="145">
        <f>(1.54*0.16*0.3)*0.75</f>
        <v>5.5440000000000003E-2</v>
      </c>
      <c r="O295" s="1"/>
    </row>
    <row r="296" spans="2:16" s="11" customFormat="1">
      <c r="B296" s="141"/>
      <c r="D296" s="142" t="s">
        <v>95</v>
      </c>
      <c r="E296" s="143" t="s">
        <v>2</v>
      </c>
      <c r="F296" s="144" t="s">
        <v>1363</v>
      </c>
      <c r="H296" s="145">
        <f>(1.54*0.16*0.6)*0.75</f>
        <v>0.11088000000000001</v>
      </c>
      <c r="O296" s="1"/>
    </row>
    <row r="297" spans="2:16" s="11" customFormat="1">
      <c r="B297" s="141"/>
      <c r="D297" s="142" t="s">
        <v>95</v>
      </c>
      <c r="E297" s="143" t="s">
        <v>2</v>
      </c>
      <c r="F297" s="144" t="s">
        <v>1364</v>
      </c>
      <c r="H297" s="145">
        <f>(1.54*0.16*0.6)*0.75</f>
        <v>0.11088000000000001</v>
      </c>
      <c r="O297" s="1"/>
    </row>
    <row r="298" spans="2:16" s="11" customFormat="1">
      <c r="B298" s="141"/>
      <c r="D298" s="142" t="s">
        <v>95</v>
      </c>
      <c r="E298" s="143" t="s">
        <v>2</v>
      </c>
      <c r="F298" s="144" t="s">
        <v>2442</v>
      </c>
      <c r="H298" s="145">
        <f>(2.025*0.16*0.6)*0.75</f>
        <v>0.14579999999999999</v>
      </c>
      <c r="O298" s="1"/>
    </row>
    <row r="299" spans="2:16" s="11" customFormat="1">
      <c r="B299" s="141"/>
      <c r="D299" s="142" t="s">
        <v>95</v>
      </c>
      <c r="E299" s="143" t="s">
        <v>2</v>
      </c>
      <c r="F299" s="144" t="s">
        <v>2443</v>
      </c>
      <c r="H299" s="145">
        <f>(1.45*0.18)*2</f>
        <v>0.52200000000000002</v>
      </c>
      <c r="O299" s="1"/>
    </row>
    <row r="300" spans="2:16" s="11" customFormat="1" ht="24" customHeight="1">
      <c r="B300" s="141"/>
      <c r="D300" s="142" t="s">
        <v>95</v>
      </c>
      <c r="E300" s="143" t="s">
        <v>2</v>
      </c>
      <c r="F300" s="144" t="s">
        <v>1366</v>
      </c>
      <c r="H300" s="145">
        <f>(1*0.14*0.6)*0.75</f>
        <v>6.3E-2</v>
      </c>
      <c r="O300" s="1"/>
    </row>
    <row r="301" spans="2:16" s="11" customFormat="1">
      <c r="B301" s="141"/>
      <c r="D301" s="142" t="s">
        <v>95</v>
      </c>
      <c r="E301" s="143" t="s">
        <v>2</v>
      </c>
      <c r="F301" s="144" t="s">
        <v>1365</v>
      </c>
      <c r="H301" s="145">
        <f>(1*0.14*0.6)*0.75</f>
        <v>6.3E-2</v>
      </c>
      <c r="O301" s="1"/>
    </row>
    <row r="302" spans="2:16" s="12" customFormat="1">
      <c r="B302" s="146"/>
      <c r="D302" s="142" t="s">
        <v>95</v>
      </c>
      <c r="E302" s="147" t="s">
        <v>2</v>
      </c>
      <c r="F302" s="148" t="s">
        <v>96</v>
      </c>
      <c r="H302" s="149">
        <f>SUM(H294:H301)</f>
        <v>1.1681999999999999</v>
      </c>
      <c r="O302" s="1"/>
    </row>
    <row r="303" spans="2:16" s="12" customFormat="1" ht="28.9" customHeight="1">
      <c r="B303" s="146"/>
      <c r="C303" s="135">
        <f>C293+1</f>
        <v>46</v>
      </c>
      <c r="D303" s="304" t="s">
        <v>65</v>
      </c>
      <c r="E303" s="305" t="s">
        <v>1367</v>
      </c>
      <c r="F303" s="306" t="s">
        <v>1368</v>
      </c>
      <c r="G303" s="307" t="s">
        <v>105</v>
      </c>
      <c r="H303" s="139">
        <f>H313</f>
        <v>4.3088000000000006</v>
      </c>
      <c r="I303" s="90"/>
      <c r="J303" s="140">
        <f>ROUND(I303*H303,2)</f>
        <v>0</v>
      </c>
      <c r="K303" s="137"/>
      <c r="O303" s="1"/>
      <c r="P303" s="163">
        <f>H303*0.06*2.25</f>
        <v>0.58168800000000009</v>
      </c>
    </row>
    <row r="304" spans="2:16" s="11" customFormat="1">
      <c r="B304" s="141"/>
      <c r="D304" s="142" t="s">
        <v>95</v>
      </c>
      <c r="E304" s="143" t="s">
        <v>2</v>
      </c>
      <c r="F304" s="144" t="s">
        <v>2445</v>
      </c>
      <c r="H304" s="145">
        <f>(2.4*0.18)*2</f>
        <v>0.86399999999999999</v>
      </c>
      <c r="O304" s="1"/>
    </row>
    <row r="305" spans="2:16" s="11" customFormat="1">
      <c r="B305" s="141"/>
      <c r="D305" s="142" t="s">
        <v>95</v>
      </c>
      <c r="E305" s="143" t="s">
        <v>2</v>
      </c>
      <c r="F305" s="144" t="s">
        <v>1369</v>
      </c>
      <c r="H305" s="145">
        <f>(1.54*0.16)*2</f>
        <v>0.49280000000000002</v>
      </c>
      <c r="O305" s="1"/>
    </row>
    <row r="306" spans="2:16" s="11" customFormat="1">
      <c r="B306" s="141"/>
      <c r="D306" s="142" t="s">
        <v>95</v>
      </c>
      <c r="E306" s="143" t="s">
        <v>2</v>
      </c>
      <c r="F306" s="144" t="s">
        <v>1370</v>
      </c>
      <c r="H306" s="145">
        <f>(1.54*0.16)*2</f>
        <v>0.49280000000000002</v>
      </c>
      <c r="O306" s="1"/>
    </row>
    <row r="307" spans="2:16" s="11" customFormat="1">
      <c r="B307" s="141"/>
      <c r="D307" s="142" t="s">
        <v>95</v>
      </c>
      <c r="E307" s="143" t="s">
        <v>2</v>
      </c>
      <c r="F307" s="144" t="s">
        <v>1371</v>
      </c>
      <c r="H307" s="145">
        <f>(1.54*0.16)*2</f>
        <v>0.49280000000000002</v>
      </c>
      <c r="O307" s="1"/>
    </row>
    <row r="308" spans="2:16" s="11" customFormat="1">
      <c r="B308" s="141"/>
      <c r="D308" s="142" t="s">
        <v>95</v>
      </c>
      <c r="E308" s="143" t="s">
        <v>2</v>
      </c>
      <c r="F308" s="144" t="s">
        <v>2446</v>
      </c>
      <c r="H308" s="145">
        <f>(2.025*0.16)*2</f>
        <v>0.64800000000000002</v>
      </c>
      <c r="O308" s="1"/>
    </row>
    <row r="309" spans="2:16" s="11" customFormat="1">
      <c r="B309" s="141"/>
      <c r="D309" s="142" t="s">
        <v>95</v>
      </c>
      <c r="E309" s="143" t="s">
        <v>2</v>
      </c>
      <c r="F309" s="144" t="s">
        <v>2447</v>
      </c>
      <c r="H309" s="145">
        <f>(1.97*0.12)*1</f>
        <v>0.2364</v>
      </c>
      <c r="O309" s="1"/>
    </row>
    <row r="310" spans="2:16" s="11" customFormat="1">
      <c r="B310" s="141"/>
      <c r="D310" s="142" t="s">
        <v>95</v>
      </c>
      <c r="E310" s="143" t="s">
        <v>2</v>
      </c>
      <c r="F310" s="144" t="s">
        <v>2443</v>
      </c>
      <c r="H310" s="145">
        <f>(1.45*0.18)*2</f>
        <v>0.52200000000000002</v>
      </c>
      <c r="O310" s="1"/>
    </row>
    <row r="311" spans="2:16" s="11" customFormat="1">
      <c r="B311" s="141"/>
      <c r="D311" s="142" t="s">
        <v>95</v>
      </c>
      <c r="E311" s="143" t="s">
        <v>2</v>
      </c>
      <c r="F311" s="144" t="s">
        <v>1372</v>
      </c>
      <c r="H311" s="145">
        <f>(1*0.14)*2</f>
        <v>0.28000000000000003</v>
      </c>
      <c r="O311" s="1"/>
    </row>
    <row r="312" spans="2:16" s="11" customFormat="1">
      <c r="B312" s="141"/>
      <c r="D312" s="142" t="s">
        <v>95</v>
      </c>
      <c r="E312" s="143" t="s">
        <v>2</v>
      </c>
      <c r="F312" s="144" t="s">
        <v>1373</v>
      </c>
      <c r="H312" s="145">
        <f>(1*0.14)*2</f>
        <v>0.28000000000000003</v>
      </c>
      <c r="O312" s="1"/>
    </row>
    <row r="313" spans="2:16" s="12" customFormat="1">
      <c r="B313" s="146"/>
      <c r="D313" s="142" t="s">
        <v>95</v>
      </c>
      <c r="E313" s="147" t="s">
        <v>2</v>
      </c>
      <c r="F313" s="148" t="s">
        <v>96</v>
      </c>
      <c r="H313" s="149">
        <f>SUM(H304:H312)</f>
        <v>4.3088000000000006</v>
      </c>
      <c r="O313" s="1"/>
    </row>
    <row r="314" spans="2:16" s="12" customFormat="1" ht="28.9" customHeight="1">
      <c r="B314" s="146"/>
      <c r="C314" s="135">
        <f>C303+1</f>
        <v>47</v>
      </c>
      <c r="D314" s="304" t="s">
        <v>65</v>
      </c>
      <c r="E314" s="305" t="s">
        <v>1424</v>
      </c>
      <c r="F314" s="306" t="s">
        <v>1425</v>
      </c>
      <c r="G314" s="307" t="s">
        <v>105</v>
      </c>
      <c r="H314" s="139">
        <f>H324</f>
        <v>4.3088000000000006</v>
      </c>
      <c r="I314" s="90"/>
      <c r="J314" s="140">
        <f>ROUND(I314*H314,2)</f>
        <v>0</v>
      </c>
      <c r="K314" s="137"/>
      <c r="O314" s="1"/>
      <c r="P314" s="163">
        <f>H314*0.03*2.25</f>
        <v>0.29084400000000005</v>
      </c>
    </row>
    <row r="315" spans="2:16" s="11" customFormat="1">
      <c r="B315" s="141"/>
      <c r="D315" s="142" t="s">
        <v>95</v>
      </c>
      <c r="E315" s="143" t="s">
        <v>2</v>
      </c>
      <c r="F315" s="144" t="s">
        <v>2445</v>
      </c>
      <c r="H315" s="145">
        <f>(2.4*0.18)*2</f>
        <v>0.86399999999999999</v>
      </c>
      <c r="O315" s="1"/>
    </row>
    <row r="316" spans="2:16" s="11" customFormat="1">
      <c r="B316" s="141"/>
      <c r="D316" s="142" t="s">
        <v>95</v>
      </c>
      <c r="E316" s="143" t="s">
        <v>2</v>
      </c>
      <c r="F316" s="144" t="s">
        <v>1369</v>
      </c>
      <c r="H316" s="145">
        <f>(1.54*0.16)*2</f>
        <v>0.49280000000000002</v>
      </c>
      <c r="O316" s="1"/>
    </row>
    <row r="317" spans="2:16" s="11" customFormat="1">
      <c r="B317" s="141"/>
      <c r="D317" s="142" t="s">
        <v>95</v>
      </c>
      <c r="E317" s="143" t="s">
        <v>2</v>
      </c>
      <c r="F317" s="144" t="s">
        <v>1370</v>
      </c>
      <c r="H317" s="145">
        <f>(1.54*0.16)*2</f>
        <v>0.49280000000000002</v>
      </c>
      <c r="O317" s="1"/>
    </row>
    <row r="318" spans="2:16" s="11" customFormat="1">
      <c r="B318" s="141"/>
      <c r="D318" s="142" t="s">
        <v>95</v>
      </c>
      <c r="E318" s="143" t="s">
        <v>2</v>
      </c>
      <c r="F318" s="144" t="s">
        <v>1371</v>
      </c>
      <c r="H318" s="145">
        <f>(1.54*0.16)*2</f>
        <v>0.49280000000000002</v>
      </c>
      <c r="O318" s="1"/>
    </row>
    <row r="319" spans="2:16" s="11" customFormat="1">
      <c r="B319" s="141"/>
      <c r="D319" s="142" t="s">
        <v>95</v>
      </c>
      <c r="E319" s="143" t="s">
        <v>2</v>
      </c>
      <c r="F319" s="144" t="s">
        <v>2446</v>
      </c>
      <c r="H319" s="145">
        <f>(2.025*0.16)*2</f>
        <v>0.64800000000000002</v>
      </c>
      <c r="O319" s="1"/>
    </row>
    <row r="320" spans="2:16" s="11" customFormat="1">
      <c r="B320" s="141"/>
      <c r="D320" s="142" t="s">
        <v>95</v>
      </c>
      <c r="E320" s="143" t="s">
        <v>2</v>
      </c>
      <c r="F320" s="144" t="s">
        <v>2447</v>
      </c>
      <c r="H320" s="145">
        <f>(1.97*0.12)*1</f>
        <v>0.2364</v>
      </c>
      <c r="O320" s="1"/>
    </row>
    <row r="321" spans="2:16" s="11" customFormat="1">
      <c r="B321" s="141"/>
      <c r="D321" s="142" t="s">
        <v>95</v>
      </c>
      <c r="E321" s="143" t="s">
        <v>2</v>
      </c>
      <c r="F321" s="144" t="s">
        <v>2443</v>
      </c>
      <c r="H321" s="145">
        <f>(1.45*0.18)*2</f>
        <v>0.52200000000000002</v>
      </c>
      <c r="O321" s="1"/>
    </row>
    <row r="322" spans="2:16" s="11" customFormat="1">
      <c r="B322" s="141"/>
      <c r="D322" s="142" t="s">
        <v>95</v>
      </c>
      <c r="E322" s="143" t="s">
        <v>2</v>
      </c>
      <c r="F322" s="144" t="s">
        <v>1372</v>
      </c>
      <c r="H322" s="145">
        <f>(1*0.14)*2</f>
        <v>0.28000000000000003</v>
      </c>
      <c r="O322" s="1"/>
    </row>
    <row r="323" spans="2:16" s="11" customFormat="1">
      <c r="B323" s="141"/>
      <c r="D323" s="142" t="s">
        <v>95</v>
      </c>
      <c r="E323" s="143" t="s">
        <v>2</v>
      </c>
      <c r="F323" s="144" t="s">
        <v>1373</v>
      </c>
      <c r="H323" s="145">
        <f>(1*0.14)*2</f>
        <v>0.28000000000000003</v>
      </c>
      <c r="O323" s="1"/>
    </row>
    <row r="324" spans="2:16" s="12" customFormat="1">
      <c r="B324" s="146"/>
      <c r="D324" s="142" t="s">
        <v>95</v>
      </c>
      <c r="E324" s="147" t="s">
        <v>2</v>
      </c>
      <c r="F324" s="148" t="s">
        <v>96</v>
      </c>
      <c r="H324" s="149">
        <f>SUM(H315:H323)</f>
        <v>4.3088000000000006</v>
      </c>
      <c r="O324" s="1"/>
    </row>
    <row r="325" spans="2:16" s="1" customFormat="1" ht="22.5" customHeight="1">
      <c r="B325" s="39"/>
      <c r="C325" s="135">
        <f>C314+1</f>
        <v>48</v>
      </c>
      <c r="D325" s="135" t="s">
        <v>65</v>
      </c>
      <c r="E325" s="136" t="s">
        <v>141</v>
      </c>
      <c r="F325" s="137" t="s">
        <v>142</v>
      </c>
      <c r="G325" s="138" t="s">
        <v>101</v>
      </c>
      <c r="H325" s="139">
        <f>H327</f>
        <v>0.186</v>
      </c>
      <c r="I325" s="90"/>
      <c r="J325" s="140">
        <f>ROUND(I325*H325,2)</f>
        <v>0</v>
      </c>
      <c r="K325" s="137"/>
      <c r="P325" s="303">
        <f>H325</f>
        <v>0.186</v>
      </c>
    </row>
    <row r="326" spans="2:16" s="11" customFormat="1">
      <c r="B326" s="141"/>
      <c r="D326" s="142" t="s">
        <v>95</v>
      </c>
      <c r="E326" s="143" t="s">
        <v>2</v>
      </c>
      <c r="F326" s="144" t="s">
        <v>2448</v>
      </c>
      <c r="H326" s="145">
        <f>(((0.25*0.25)*(0.5+2.955+2.245+0.5))*4)*0.12</f>
        <v>0.186</v>
      </c>
      <c r="O326" s="1"/>
    </row>
    <row r="327" spans="2:16" s="12" customFormat="1">
      <c r="B327" s="146"/>
      <c r="D327" s="142" t="s">
        <v>95</v>
      </c>
      <c r="E327" s="147" t="s">
        <v>2</v>
      </c>
      <c r="F327" s="148" t="s">
        <v>96</v>
      </c>
      <c r="H327" s="149">
        <f>SUM(H326:H326)</f>
        <v>0.186</v>
      </c>
      <c r="O327" s="1"/>
    </row>
    <row r="328" spans="2:16" s="10" customFormat="1" ht="29.85" customHeight="1">
      <c r="B328" s="128"/>
      <c r="D328" s="129" t="s">
        <v>39</v>
      </c>
      <c r="E328" s="133" t="s">
        <v>100</v>
      </c>
      <c r="F328" s="133" t="s">
        <v>143</v>
      </c>
      <c r="J328" s="134">
        <f>SUM(J329:J456)</f>
        <v>0</v>
      </c>
      <c r="O328"/>
    </row>
    <row r="329" spans="2:16" s="1" customFormat="1" ht="22.5" customHeight="1">
      <c r="B329" s="39"/>
      <c r="C329" s="135">
        <f>C325+1</f>
        <v>49</v>
      </c>
      <c r="D329" s="135" t="s">
        <v>65</v>
      </c>
      <c r="E329" s="136" t="s">
        <v>144</v>
      </c>
      <c r="F329" s="137" t="s">
        <v>145</v>
      </c>
      <c r="G329" s="138" t="s">
        <v>105</v>
      </c>
      <c r="H329" s="139">
        <f>H334</f>
        <v>169.70824999999999</v>
      </c>
      <c r="I329" s="90"/>
      <c r="J329" s="140">
        <f>ROUND(I329*H329,2)</f>
        <v>0</v>
      </c>
      <c r="K329" s="137"/>
      <c r="P329" s="1">
        <f>H329*0.005*1.85</f>
        <v>1.5698013125000001</v>
      </c>
    </row>
    <row r="330" spans="2:16" s="11" customFormat="1" ht="27">
      <c r="B330" s="141"/>
      <c r="D330" s="142" t="s">
        <v>95</v>
      </c>
      <c r="E330" s="143" t="s">
        <v>2</v>
      </c>
      <c r="F330" s="144" t="s">
        <v>2468</v>
      </c>
      <c r="H330" s="145">
        <f>(2+2.305+2)*(11+1.75)+(2+1.965+2)*(3.5)</f>
        <v>101.26625</v>
      </c>
      <c r="O330" s="1"/>
    </row>
    <row r="331" spans="2:16" s="11" customFormat="1" ht="27">
      <c r="B331" s="141"/>
      <c r="D331" s="142" t="s">
        <v>95</v>
      </c>
      <c r="E331" s="143" t="s">
        <v>2</v>
      </c>
      <c r="F331" s="144" t="s">
        <v>2458</v>
      </c>
      <c r="H331" s="145">
        <f>((2.18+1.14+2.18)+(3.065+1.99+3.035)+(1.1+2+1.1+2))*(0.3)</f>
        <v>5.9369999999999994</v>
      </c>
      <c r="O331" s="1"/>
    </row>
    <row r="332" spans="2:16" s="11" customFormat="1">
      <c r="B332" s="141"/>
      <c r="D332" s="142" t="s">
        <v>95</v>
      </c>
      <c r="E332" s="143" t="s">
        <v>2</v>
      </c>
      <c r="F332" s="144" t="s">
        <v>2459</v>
      </c>
      <c r="H332" s="145">
        <f>(2.255+1.965)*(11+1.75)</f>
        <v>53.805</v>
      </c>
      <c r="O332" s="1"/>
    </row>
    <row r="333" spans="2:16" s="11" customFormat="1" ht="27">
      <c r="B333" s="141"/>
      <c r="D333" s="142" t="s">
        <v>95</v>
      </c>
      <c r="E333" s="143" t="s">
        <v>2</v>
      </c>
      <c r="F333" s="144" t="s">
        <v>2460</v>
      </c>
      <c r="H333" s="145">
        <f>(2.18+1.14+2.18)*(0.55)*1+(2.18+1.14+2.18)*(0.5)*1+(2.18+1.49+2.18)*(0.5)*1</f>
        <v>8.6999999999999993</v>
      </c>
      <c r="O333" s="1"/>
    </row>
    <row r="334" spans="2:16" s="12" customFormat="1">
      <c r="B334" s="146"/>
      <c r="D334" s="142" t="s">
        <v>95</v>
      </c>
      <c r="E334" s="147" t="s">
        <v>2</v>
      </c>
      <c r="F334" s="148" t="s">
        <v>96</v>
      </c>
      <c r="H334" s="149">
        <f>SUM(H330:H333)</f>
        <v>169.70824999999999</v>
      </c>
      <c r="O334" s="1"/>
    </row>
    <row r="335" spans="2:16" s="1" customFormat="1" ht="22.5" customHeight="1">
      <c r="B335" s="39"/>
      <c r="C335" s="135">
        <f>C329+1</f>
        <v>50</v>
      </c>
      <c r="D335" s="135" t="s">
        <v>65</v>
      </c>
      <c r="E335" s="136" t="s">
        <v>1456</v>
      </c>
      <c r="F335" s="137" t="s">
        <v>146</v>
      </c>
      <c r="G335" s="138" t="s">
        <v>105</v>
      </c>
      <c r="H335" s="139">
        <f>H338</f>
        <v>21.134599999999999</v>
      </c>
      <c r="I335" s="90"/>
      <c r="J335" s="140">
        <f>ROUND(I335*H335,2)</f>
        <v>0</v>
      </c>
      <c r="K335" s="137"/>
      <c r="P335" s="1">
        <f>H335*0.02*1.85</f>
        <v>0.78198020000000001</v>
      </c>
    </row>
    <row r="336" spans="2:16" s="11" customFormat="1" ht="27">
      <c r="B336" s="141"/>
      <c r="D336" s="142" t="s">
        <v>95</v>
      </c>
      <c r="E336" s="143" t="s">
        <v>2</v>
      </c>
      <c r="F336" s="144" t="s">
        <v>2461</v>
      </c>
      <c r="H336" s="145">
        <f>(2+2.305+2.2)*1.96+(2+1.965+2)*0.5</f>
        <v>15.732299999999999</v>
      </c>
      <c r="O336" s="1"/>
    </row>
    <row r="337" spans="2:16" s="11" customFormat="1">
      <c r="B337" s="141"/>
      <c r="D337" s="142" t="s">
        <v>95</v>
      </c>
      <c r="E337" s="143" t="s">
        <v>2</v>
      </c>
      <c r="F337" s="144" t="s">
        <v>2462</v>
      </c>
      <c r="H337" s="145">
        <f>(2.255)*1.96+(1.965)*0.5</f>
        <v>5.4022999999999994</v>
      </c>
      <c r="O337" s="1"/>
    </row>
    <row r="338" spans="2:16" s="12" customFormat="1">
      <c r="B338" s="146"/>
      <c r="D338" s="142" t="s">
        <v>95</v>
      </c>
      <c r="E338" s="147" t="s">
        <v>2</v>
      </c>
      <c r="F338" s="148" t="s">
        <v>96</v>
      </c>
      <c r="H338" s="149">
        <f>SUM(H336:H337)</f>
        <v>21.134599999999999</v>
      </c>
      <c r="O338" s="1"/>
    </row>
    <row r="339" spans="2:16" s="1" customFormat="1" ht="22.5" customHeight="1">
      <c r="B339" s="39"/>
      <c r="C339" s="135">
        <f>C335+1</f>
        <v>51</v>
      </c>
      <c r="D339" s="135" t="s">
        <v>65</v>
      </c>
      <c r="E339" s="136" t="s">
        <v>147</v>
      </c>
      <c r="F339" s="137" t="s">
        <v>148</v>
      </c>
      <c r="G339" s="138" t="s">
        <v>105</v>
      </c>
      <c r="H339" s="139">
        <f>H346</f>
        <v>148.57364999999999</v>
      </c>
      <c r="I339" s="90"/>
      <c r="J339" s="140">
        <f>ROUND(I339*H339,2)</f>
        <v>0</v>
      </c>
      <c r="K339" s="137"/>
      <c r="P339" s="1">
        <f>H339*0.025*1.85</f>
        <v>6.8715313125000002</v>
      </c>
    </row>
    <row r="340" spans="2:16" s="11" customFormat="1" ht="27">
      <c r="B340" s="141"/>
      <c r="D340" s="142" t="s">
        <v>95</v>
      </c>
      <c r="E340" s="143" t="s">
        <v>2</v>
      </c>
      <c r="F340" s="144" t="s">
        <v>2468</v>
      </c>
      <c r="H340" s="145">
        <f>(2+2.305+2)*(11+1.75)+(2+1.965+2)*(3.5)</f>
        <v>101.26625</v>
      </c>
      <c r="O340" s="1"/>
    </row>
    <row r="341" spans="2:16" s="11" customFormat="1" ht="27">
      <c r="B341" s="141"/>
      <c r="D341" s="142" t="s">
        <v>95</v>
      </c>
      <c r="E341" s="143" t="s">
        <v>2</v>
      </c>
      <c r="F341" s="144" t="s">
        <v>2458</v>
      </c>
      <c r="H341" s="145">
        <f>((2.18+1.14+2.18)+(3.065+1.99+3.035)+(1.1+2+1.1+2))*(0.3)</f>
        <v>5.9369999999999994</v>
      </c>
      <c r="O341" s="1"/>
    </row>
    <row r="342" spans="2:16" s="11" customFormat="1">
      <c r="B342" s="141"/>
      <c r="D342" s="142" t="s">
        <v>95</v>
      </c>
      <c r="E342" s="143" t="s">
        <v>2</v>
      </c>
      <c r="F342" s="144" t="s">
        <v>2459</v>
      </c>
      <c r="H342" s="145">
        <f>(2.255+1.965)*(11+1.75)</f>
        <v>53.805</v>
      </c>
      <c r="O342" s="1"/>
    </row>
    <row r="343" spans="2:16" s="11" customFormat="1" ht="27">
      <c r="B343" s="141"/>
      <c r="D343" s="142" t="s">
        <v>95</v>
      </c>
      <c r="E343" s="143" t="s">
        <v>2</v>
      </c>
      <c r="F343" s="144" t="s">
        <v>2460</v>
      </c>
      <c r="H343" s="145">
        <f>(2.18+1.14+2.18)*(0.55)*1+(2.18+1.14+2.18)*(0.5)*1+(2.18+1.49+2.18)*(0.5)*1</f>
        <v>8.6999999999999993</v>
      </c>
      <c r="O343" s="1"/>
    </row>
    <row r="344" spans="2:16" s="11" customFormat="1" ht="27">
      <c r="B344" s="141"/>
      <c r="D344" s="142" t="s">
        <v>95</v>
      </c>
      <c r="E344" s="143" t="s">
        <v>2</v>
      </c>
      <c r="F344" s="144" t="s">
        <v>2463</v>
      </c>
      <c r="H344" s="145">
        <f>((2+2.305+2.2)*1.96+(2+1.965+2)*0.5)*(-1)</f>
        <v>-15.732299999999999</v>
      </c>
      <c r="O344" s="1"/>
    </row>
    <row r="345" spans="2:16" s="11" customFormat="1" ht="24" customHeight="1">
      <c r="B345" s="141"/>
      <c r="D345" s="142" t="s">
        <v>95</v>
      </c>
      <c r="E345" s="143" t="s">
        <v>2</v>
      </c>
      <c r="F345" s="144" t="s">
        <v>2464</v>
      </c>
      <c r="H345" s="145">
        <f>((2.255)*1.96+(1.965)*0.5)*(-1)</f>
        <v>-5.4022999999999994</v>
      </c>
      <c r="O345" s="1"/>
    </row>
    <row r="346" spans="2:16" s="12" customFormat="1">
      <c r="B346" s="146"/>
      <c r="D346" s="142" t="s">
        <v>95</v>
      </c>
      <c r="E346" s="147" t="s">
        <v>2</v>
      </c>
      <c r="F346" s="148" t="s">
        <v>96</v>
      </c>
      <c r="H346" s="149">
        <f>SUM(H340:H345)</f>
        <v>148.57364999999999</v>
      </c>
      <c r="O346" s="1"/>
    </row>
    <row r="347" spans="2:16" s="1" customFormat="1" ht="22.5" customHeight="1">
      <c r="B347" s="39"/>
      <c r="C347" s="135">
        <f>C339+1</f>
        <v>52</v>
      </c>
      <c r="D347" s="135" t="s">
        <v>65</v>
      </c>
      <c r="E347" s="136" t="s">
        <v>151</v>
      </c>
      <c r="F347" s="137" t="s">
        <v>152</v>
      </c>
      <c r="G347" s="138" t="s">
        <v>105</v>
      </c>
      <c r="H347" s="139">
        <f>H352</f>
        <v>142.39174999999997</v>
      </c>
      <c r="I347" s="90"/>
      <c r="J347" s="140">
        <f>ROUND(I347*H347,2)</f>
        <v>0</v>
      </c>
      <c r="K347" s="137"/>
      <c r="P347" s="1">
        <f>H347*0.005*1.85</f>
        <v>1.3171236874999999</v>
      </c>
    </row>
    <row r="348" spans="2:16" s="11" customFormat="1" ht="27">
      <c r="B348" s="141"/>
      <c r="D348" s="142" t="s">
        <v>95</v>
      </c>
      <c r="E348" s="143" t="s">
        <v>2</v>
      </c>
      <c r="F348" s="144" t="s">
        <v>2469</v>
      </c>
      <c r="H348" s="145">
        <f>(2.3+2.955)*(11+0.5)+(2.3)*(11+0.5-3.5)+(2.245+2.3)*(3.5)</f>
        <v>94.74</v>
      </c>
      <c r="O348" s="1"/>
    </row>
    <row r="349" spans="2:16" s="11" customFormat="1" ht="27">
      <c r="B349" s="141"/>
      <c r="D349" s="142" t="s">
        <v>95</v>
      </c>
      <c r="E349" s="143" t="s">
        <v>2</v>
      </c>
      <c r="F349" s="144" t="s">
        <v>2465</v>
      </c>
      <c r="H349" s="145">
        <f>((2.18+1.14+2.18)+(3.065+1.99+3.035)+(1.1+2+1.1+2))*(0.325)</f>
        <v>6.4317500000000001</v>
      </c>
      <c r="O349" s="1"/>
    </row>
    <row r="350" spans="2:16" s="11" customFormat="1">
      <c r="B350" s="141"/>
      <c r="D350" s="142" t="s">
        <v>95</v>
      </c>
      <c r="E350" s="143" t="s">
        <v>2</v>
      </c>
      <c r="F350" s="144" t="s">
        <v>2466</v>
      </c>
      <c r="H350" s="145">
        <f>(1.5)*(11+0.5+11+0.5)</f>
        <v>34.5</v>
      </c>
      <c r="O350" s="1"/>
    </row>
    <row r="351" spans="2:16" s="11" customFormat="1" ht="27">
      <c r="B351" s="141"/>
      <c r="D351" s="142" t="s">
        <v>95</v>
      </c>
      <c r="E351" s="143"/>
      <c r="F351" s="144" t="s">
        <v>1004</v>
      </c>
      <c r="H351" s="145">
        <f>(0.7+1.4+0.7+1.4)*(0.3+0.5)*2</f>
        <v>6.7199999999999989</v>
      </c>
      <c r="O351" s="1"/>
    </row>
    <row r="352" spans="2:16" s="12" customFormat="1">
      <c r="B352" s="146"/>
      <c r="D352" s="142" t="s">
        <v>95</v>
      </c>
      <c r="E352" s="147" t="s">
        <v>2</v>
      </c>
      <c r="F352" s="148" t="s">
        <v>96</v>
      </c>
      <c r="H352" s="149">
        <f>SUM(H348:H351)</f>
        <v>142.39174999999997</v>
      </c>
      <c r="O352" s="1"/>
    </row>
    <row r="353" spans="2:16" s="1" customFormat="1" ht="22.5" customHeight="1">
      <c r="B353" s="39"/>
      <c r="C353" s="135">
        <f>C347+1</f>
        <v>53</v>
      </c>
      <c r="D353" s="135" t="s">
        <v>65</v>
      </c>
      <c r="E353" s="136" t="s">
        <v>999</v>
      </c>
      <c r="F353" s="137" t="s">
        <v>1000</v>
      </c>
      <c r="G353" s="138" t="s">
        <v>105</v>
      </c>
      <c r="H353" s="139">
        <f>H356</f>
        <v>5.641</v>
      </c>
      <c r="I353" s="90"/>
      <c r="J353" s="140">
        <f>ROUND(I353*H353,2)</f>
        <v>0</v>
      </c>
      <c r="K353" s="137"/>
      <c r="P353" s="1">
        <f>H353*0.025*1.85</f>
        <v>0.26089625000000005</v>
      </c>
    </row>
    <row r="354" spans="2:16" s="11" customFormat="1">
      <c r="B354" s="141"/>
      <c r="D354" s="142" t="s">
        <v>95</v>
      </c>
      <c r="E354" s="143" t="s">
        <v>2</v>
      </c>
      <c r="F354" s="144" t="s">
        <v>2470</v>
      </c>
      <c r="H354" s="145">
        <f>(2.3+2.955+2.245+2.3)*(0.5)</f>
        <v>4.9000000000000004</v>
      </c>
      <c r="O354" s="1"/>
    </row>
    <row r="355" spans="2:16" s="11" customFormat="1">
      <c r="B355" s="141"/>
      <c r="D355" s="142" t="s">
        <v>95</v>
      </c>
      <c r="E355" s="143" t="s">
        <v>2</v>
      </c>
      <c r="F355" s="144" t="s">
        <v>1003</v>
      </c>
      <c r="H355" s="145">
        <f>(1.14)*(0.325)*2</f>
        <v>0.74099999999999999</v>
      </c>
      <c r="O355" s="1"/>
    </row>
    <row r="356" spans="2:16" s="12" customFormat="1">
      <c r="B356" s="146"/>
      <c r="D356" s="142" t="s">
        <v>95</v>
      </c>
      <c r="E356" s="147" t="s">
        <v>2</v>
      </c>
      <c r="F356" s="148" t="s">
        <v>96</v>
      </c>
      <c r="H356" s="149">
        <f>SUM(H354:H355)</f>
        <v>5.641</v>
      </c>
      <c r="O356" s="1"/>
    </row>
    <row r="357" spans="2:16" s="1" customFormat="1" ht="22.5" customHeight="1">
      <c r="B357" s="39"/>
      <c r="C357" s="135">
        <f>C353+1</f>
        <v>54</v>
      </c>
      <c r="D357" s="135" t="s">
        <v>65</v>
      </c>
      <c r="E357" s="136" t="s">
        <v>1002</v>
      </c>
      <c r="F357" s="137" t="s">
        <v>1001</v>
      </c>
      <c r="G357" s="138" t="s">
        <v>105</v>
      </c>
      <c r="H357" s="139">
        <f>H364</f>
        <v>139.02324999999996</v>
      </c>
      <c r="I357" s="90"/>
      <c r="J357" s="140">
        <f>ROUND(I357*H357,2)</f>
        <v>0</v>
      </c>
      <c r="K357" s="137"/>
      <c r="P357" s="1">
        <f>H357*0.03*1.85</f>
        <v>7.7157903749999974</v>
      </c>
    </row>
    <row r="358" spans="2:16" s="11" customFormat="1" ht="27">
      <c r="B358" s="141"/>
      <c r="D358" s="142" t="s">
        <v>95</v>
      </c>
      <c r="E358" s="143" t="s">
        <v>2</v>
      </c>
      <c r="F358" s="144" t="s">
        <v>2469</v>
      </c>
      <c r="H358" s="145">
        <f>(2.3+2.955)*(11+0.5)+(2.3)*(11+0.5-3.5)+(2.245+2.3)*(3.5)</f>
        <v>94.74</v>
      </c>
      <c r="O358" s="1"/>
    </row>
    <row r="359" spans="2:16" s="11" customFormat="1" ht="27">
      <c r="B359" s="141"/>
      <c r="D359" s="142" t="s">
        <v>95</v>
      </c>
      <c r="E359" s="143" t="s">
        <v>2</v>
      </c>
      <c r="F359" s="144" t="s">
        <v>2465</v>
      </c>
      <c r="H359" s="145">
        <f>((2.18+1.14+2.18)+(3.065+1.99+3.035)+(1.1+2+1.1+2))*(0.325)</f>
        <v>6.4317500000000001</v>
      </c>
      <c r="O359" s="1"/>
    </row>
    <row r="360" spans="2:16" s="11" customFormat="1">
      <c r="B360" s="141"/>
      <c r="D360" s="142" t="s">
        <v>95</v>
      </c>
      <c r="E360" s="143" t="s">
        <v>2</v>
      </c>
      <c r="F360" s="144" t="s">
        <v>2466</v>
      </c>
      <c r="H360" s="145">
        <f>(1.5)*(11+0.5+11+0.5)</f>
        <v>34.5</v>
      </c>
      <c r="O360" s="1"/>
    </row>
    <row r="361" spans="2:16" s="11" customFormat="1" ht="27">
      <c r="B361" s="141"/>
      <c r="D361" s="142" t="s">
        <v>95</v>
      </c>
      <c r="E361" s="143"/>
      <c r="F361" s="144" t="s">
        <v>1004</v>
      </c>
      <c r="H361" s="145">
        <f>(0.7+1.4+0.7+1.4)*(0.3+0.5)*2</f>
        <v>6.7199999999999989</v>
      </c>
      <c r="O361" s="1"/>
    </row>
    <row r="362" spans="2:16" s="11" customFormat="1">
      <c r="B362" s="141"/>
      <c r="D362" s="142" t="s">
        <v>95</v>
      </c>
      <c r="E362" s="143" t="s">
        <v>2</v>
      </c>
      <c r="F362" s="144" t="s">
        <v>2471</v>
      </c>
      <c r="H362" s="145">
        <f>((2.3+2.955)*(0.5))*(-1)</f>
        <v>-2.6274999999999999</v>
      </c>
      <c r="O362" s="1"/>
    </row>
    <row r="363" spans="2:16" s="11" customFormat="1">
      <c r="B363" s="141"/>
      <c r="D363" s="142" t="s">
        <v>95</v>
      </c>
      <c r="E363" s="143" t="s">
        <v>2</v>
      </c>
      <c r="F363" s="144" t="s">
        <v>2467</v>
      </c>
      <c r="H363" s="145">
        <f>((1.14)*(0.325)*2)*(-1)</f>
        <v>-0.74099999999999999</v>
      </c>
      <c r="O363" s="1"/>
    </row>
    <row r="364" spans="2:16" s="12" customFormat="1">
      <c r="B364" s="146"/>
      <c r="D364" s="142" t="s">
        <v>95</v>
      </c>
      <c r="E364" s="147" t="s">
        <v>2</v>
      </c>
      <c r="F364" s="148" t="s">
        <v>96</v>
      </c>
      <c r="H364" s="149">
        <f>SUM(H358:H363)</f>
        <v>139.02324999999996</v>
      </c>
      <c r="O364" s="1"/>
    </row>
    <row r="365" spans="2:16" s="1" customFormat="1" ht="22.5" customHeight="1">
      <c r="B365" s="39"/>
      <c r="C365" s="135">
        <f>C357+1</f>
        <v>55</v>
      </c>
      <c r="D365" s="135" t="s">
        <v>65</v>
      </c>
      <c r="E365" s="136" t="s">
        <v>153</v>
      </c>
      <c r="F365" s="137" t="s">
        <v>154</v>
      </c>
      <c r="G365" s="138" t="s">
        <v>155</v>
      </c>
      <c r="H365" s="139">
        <f>H369</f>
        <v>73.45</v>
      </c>
      <c r="I365" s="90"/>
      <c r="J365" s="140">
        <f>ROUND(I365*H365,2)</f>
        <v>0</v>
      </c>
      <c r="K365" s="137"/>
      <c r="P365" s="1">
        <f>H365*0.001</f>
        <v>7.3450000000000001E-2</v>
      </c>
    </row>
    <row r="366" spans="2:16" s="11" customFormat="1">
      <c r="B366" s="141"/>
      <c r="D366" s="142" t="s">
        <v>95</v>
      </c>
      <c r="E366" s="143" t="s">
        <v>2</v>
      </c>
      <c r="F366" s="144" t="s">
        <v>1005</v>
      </c>
      <c r="H366" s="145">
        <f>(0.7+1.4+0.7+1.4)*2*2</f>
        <v>16.799999999999997</v>
      </c>
      <c r="O366" s="1"/>
    </row>
    <row r="367" spans="2:16" s="11" customFormat="1">
      <c r="B367" s="141"/>
      <c r="D367" s="142" t="s">
        <v>95</v>
      </c>
      <c r="E367" s="143" t="s">
        <v>2</v>
      </c>
      <c r="F367" s="144" t="s">
        <v>2472</v>
      </c>
      <c r="H367" s="145">
        <f>(2.18+1.14+0.35+2.18)*2*4</f>
        <v>46.800000000000004</v>
      </c>
      <c r="O367" s="1"/>
    </row>
    <row r="368" spans="2:16" s="11" customFormat="1">
      <c r="B368" s="141"/>
      <c r="D368" s="142" t="s">
        <v>95</v>
      </c>
      <c r="E368" s="143" t="s">
        <v>2</v>
      </c>
      <c r="F368" s="144" t="s">
        <v>2473</v>
      </c>
      <c r="H368" s="145">
        <f>(2.325+2.955+2.245+2.325)</f>
        <v>9.8500000000000014</v>
      </c>
      <c r="O368" s="1"/>
    </row>
    <row r="369" spans="2:16" s="12" customFormat="1">
      <c r="B369" s="146"/>
      <c r="D369" s="142" t="s">
        <v>95</v>
      </c>
      <c r="E369" s="147" t="s">
        <v>2</v>
      </c>
      <c r="F369" s="148" t="s">
        <v>96</v>
      </c>
      <c r="H369" s="149">
        <f>SUM(H366:H368)</f>
        <v>73.45</v>
      </c>
      <c r="O369" s="1"/>
    </row>
    <row r="370" spans="2:16" s="1" customFormat="1" ht="22.5" customHeight="1">
      <c r="B370" s="39"/>
      <c r="C370" s="150">
        <f>C365+1</f>
        <v>56</v>
      </c>
      <c r="D370" s="150" t="s">
        <v>123</v>
      </c>
      <c r="E370" s="151" t="s">
        <v>156</v>
      </c>
      <c r="F370" s="152" t="s">
        <v>157</v>
      </c>
      <c r="G370" s="153" t="s">
        <v>155</v>
      </c>
      <c r="H370" s="154">
        <f>H372</f>
        <v>80.795000000000016</v>
      </c>
      <c r="I370" s="91"/>
      <c r="J370" s="155">
        <f>ROUND(I370*H370,2)</f>
        <v>0</v>
      </c>
      <c r="K370" s="152"/>
      <c r="P370" s="1">
        <f>H370*0.001</f>
        <v>8.079500000000002E-2</v>
      </c>
    </row>
    <row r="371" spans="2:16" s="11" customFormat="1">
      <c r="B371" s="141"/>
      <c r="D371" s="142" t="s">
        <v>95</v>
      </c>
      <c r="F371" s="144" t="s">
        <v>2474</v>
      </c>
      <c r="H371" s="145">
        <f>73.45*1.1</f>
        <v>80.795000000000016</v>
      </c>
      <c r="O371" s="1"/>
    </row>
    <row r="372" spans="2:16" s="12" customFormat="1">
      <c r="B372" s="146"/>
      <c r="D372" s="142" t="s">
        <v>95</v>
      </c>
      <c r="E372" s="147" t="s">
        <v>2</v>
      </c>
      <c r="F372" s="148" t="s">
        <v>96</v>
      </c>
      <c r="H372" s="149">
        <f>SUM(H371:H371)</f>
        <v>80.795000000000016</v>
      </c>
      <c r="O372" s="1"/>
    </row>
    <row r="373" spans="2:16" s="1" customFormat="1" ht="22.5" customHeight="1">
      <c r="B373" s="39"/>
      <c r="C373" s="135">
        <f>C370+1</f>
        <v>57</v>
      </c>
      <c r="D373" s="135" t="s">
        <v>65</v>
      </c>
      <c r="E373" s="136" t="s">
        <v>158</v>
      </c>
      <c r="F373" s="137" t="s">
        <v>1007</v>
      </c>
      <c r="G373" s="138" t="s">
        <v>155</v>
      </c>
      <c r="H373" s="139">
        <f>H375</f>
        <v>16.799999999999997</v>
      </c>
      <c r="I373" s="90"/>
      <c r="J373" s="140">
        <f>ROUND(I373*H373,2)</f>
        <v>0</v>
      </c>
      <c r="K373" s="137"/>
      <c r="P373" s="1">
        <f>H373*0.001</f>
        <v>1.6799999999999999E-2</v>
      </c>
    </row>
    <row r="374" spans="2:16" s="11" customFormat="1">
      <c r="B374" s="141"/>
      <c r="D374" s="142" t="s">
        <v>95</v>
      </c>
      <c r="E374" s="143" t="s">
        <v>2</v>
      </c>
      <c r="F374" s="144" t="s">
        <v>1008</v>
      </c>
      <c r="H374" s="145">
        <f>(0.7+1.4+0.7+1.4)*2*2</f>
        <v>16.799999999999997</v>
      </c>
      <c r="O374" s="1"/>
    </row>
    <row r="375" spans="2:16" s="12" customFormat="1">
      <c r="B375" s="146"/>
      <c r="D375" s="142" t="s">
        <v>95</v>
      </c>
      <c r="E375" s="147" t="s">
        <v>2</v>
      </c>
      <c r="F375" s="148" t="s">
        <v>96</v>
      </c>
      <c r="H375" s="149">
        <f>SUM(H374:H374)</f>
        <v>16.799999999999997</v>
      </c>
      <c r="O375" s="1"/>
    </row>
    <row r="376" spans="2:16" s="1" customFormat="1" ht="22.5" customHeight="1">
      <c r="B376" s="39"/>
      <c r="C376" s="150">
        <f>C373+1</f>
        <v>58</v>
      </c>
      <c r="D376" s="150" t="s">
        <v>123</v>
      </c>
      <c r="E376" s="151" t="s">
        <v>159</v>
      </c>
      <c r="F376" s="152" t="s">
        <v>1006</v>
      </c>
      <c r="G376" s="153" t="s">
        <v>155</v>
      </c>
      <c r="H376" s="154">
        <f>H378</f>
        <v>18.479999999999997</v>
      </c>
      <c r="I376" s="91"/>
      <c r="J376" s="155">
        <f>ROUND(I376*H376,2)</f>
        <v>0</v>
      </c>
      <c r="K376" s="152"/>
      <c r="P376" s="1">
        <f>H376*0.001</f>
        <v>1.8479999999999996E-2</v>
      </c>
    </row>
    <row r="377" spans="2:16" s="11" customFormat="1">
      <c r="B377" s="141"/>
      <c r="D377" s="142" t="s">
        <v>95</v>
      </c>
      <c r="F377" s="144" t="s">
        <v>1009</v>
      </c>
      <c r="H377" s="145">
        <f>H375*1.1</f>
        <v>18.479999999999997</v>
      </c>
      <c r="O377" s="1"/>
    </row>
    <row r="378" spans="2:16" s="12" customFormat="1">
      <c r="B378" s="146"/>
      <c r="D378" s="142" t="s">
        <v>95</v>
      </c>
      <c r="E378" s="147" t="s">
        <v>2</v>
      </c>
      <c r="F378" s="148" t="s">
        <v>96</v>
      </c>
      <c r="H378" s="149">
        <f>SUM(H377:H377)</f>
        <v>18.479999999999997</v>
      </c>
      <c r="O378" s="1"/>
    </row>
    <row r="379" spans="2:16" s="1" customFormat="1" ht="22.5" customHeight="1">
      <c r="B379" s="39"/>
      <c r="C379" s="135">
        <f>C376+1</f>
        <v>59</v>
      </c>
      <c r="D379" s="135" t="s">
        <v>65</v>
      </c>
      <c r="E379" s="136" t="s">
        <v>162</v>
      </c>
      <c r="F379" s="137" t="s">
        <v>1010</v>
      </c>
      <c r="G379" s="138" t="s">
        <v>155</v>
      </c>
      <c r="H379" s="139">
        <f>H382</f>
        <v>14.2</v>
      </c>
      <c r="I379" s="90"/>
      <c r="J379" s="140">
        <f>ROUND(I379*H379,2)</f>
        <v>0</v>
      </c>
      <c r="K379" s="137"/>
      <c r="P379" s="1">
        <f>H379*0.001</f>
        <v>1.4199999999999999E-2</v>
      </c>
    </row>
    <row r="380" spans="2:16" s="11" customFormat="1">
      <c r="B380" s="141"/>
      <c r="D380" s="142" t="s">
        <v>95</v>
      </c>
      <c r="E380" s="143" t="s">
        <v>2</v>
      </c>
      <c r="F380" s="144" t="s">
        <v>1011</v>
      </c>
      <c r="H380" s="145">
        <f>0.7*2*2</f>
        <v>2.8</v>
      </c>
      <c r="O380" s="1"/>
    </row>
    <row r="381" spans="2:16" s="11" customFormat="1">
      <c r="B381" s="141"/>
      <c r="D381" s="142" t="s">
        <v>95</v>
      </c>
      <c r="E381" s="143" t="s">
        <v>2</v>
      </c>
      <c r="F381" s="144" t="s">
        <v>2475</v>
      </c>
      <c r="H381" s="145">
        <f>1.14*2*5</f>
        <v>11.399999999999999</v>
      </c>
      <c r="O381" s="1"/>
    </row>
    <row r="382" spans="2:16" s="12" customFormat="1">
      <c r="B382" s="146"/>
      <c r="D382" s="142" t="s">
        <v>95</v>
      </c>
      <c r="E382" s="147" t="s">
        <v>2</v>
      </c>
      <c r="F382" s="148" t="s">
        <v>96</v>
      </c>
      <c r="H382" s="149">
        <f>SUM(H380:H381)</f>
        <v>14.2</v>
      </c>
      <c r="O382" s="1"/>
    </row>
    <row r="383" spans="2:16" s="1" customFormat="1" ht="22.5" customHeight="1">
      <c r="B383" s="39"/>
      <c r="C383" s="150">
        <f>C379+1</f>
        <v>60</v>
      </c>
      <c r="D383" s="150" t="s">
        <v>123</v>
      </c>
      <c r="E383" s="151" t="s">
        <v>163</v>
      </c>
      <c r="F383" s="152" t="s">
        <v>1012</v>
      </c>
      <c r="G383" s="153" t="s">
        <v>155</v>
      </c>
      <c r="H383" s="154">
        <f>H385</f>
        <v>15.620000000000001</v>
      </c>
      <c r="I383" s="91"/>
      <c r="J383" s="155">
        <f>ROUND(I383*H383,2)</f>
        <v>0</v>
      </c>
      <c r="K383" s="152"/>
      <c r="P383" s="1">
        <f>H383*0.001</f>
        <v>1.5620000000000002E-2</v>
      </c>
    </row>
    <row r="384" spans="2:16" s="11" customFormat="1">
      <c r="B384" s="141"/>
      <c r="D384" s="142" t="s">
        <v>95</v>
      </c>
      <c r="F384" s="144" t="s">
        <v>2476</v>
      </c>
      <c r="H384" s="145">
        <f>14.2*1.1</f>
        <v>15.620000000000001</v>
      </c>
      <c r="O384" s="1"/>
    </row>
    <row r="385" spans="2:65" s="12" customFormat="1">
      <c r="B385" s="146"/>
      <c r="D385" s="142" t="s">
        <v>95</v>
      </c>
      <c r="E385" s="147" t="s">
        <v>2</v>
      </c>
      <c r="F385" s="148" t="s">
        <v>96</v>
      </c>
      <c r="H385" s="149">
        <f>SUM(H384:H384)</f>
        <v>15.620000000000001</v>
      </c>
      <c r="O385" s="1"/>
    </row>
    <row r="386" spans="2:65" s="1" customFormat="1" ht="22.15" customHeight="1">
      <c r="B386" s="39"/>
      <c r="C386" s="135">
        <f>C383+1</f>
        <v>61</v>
      </c>
      <c r="D386" s="135" t="s">
        <v>65</v>
      </c>
      <c r="E386" s="136" t="s">
        <v>149</v>
      </c>
      <c r="F386" s="137" t="s">
        <v>150</v>
      </c>
      <c r="G386" s="138" t="s">
        <v>105</v>
      </c>
      <c r="H386" s="139">
        <f>H390</f>
        <v>41.806899999999999</v>
      </c>
      <c r="I386" s="90"/>
      <c r="J386" s="140">
        <f>ROUND(I386*H386,2)</f>
        <v>0</v>
      </c>
      <c r="K386" s="137"/>
      <c r="P386" s="1">
        <f>H386*0.0001</f>
        <v>4.1806899999999999E-3</v>
      </c>
    </row>
    <row r="387" spans="2:65" s="11" customFormat="1">
      <c r="B387" s="141"/>
      <c r="D387" s="142" t="s">
        <v>95</v>
      </c>
      <c r="E387" s="143" t="s">
        <v>2</v>
      </c>
      <c r="F387" s="144" t="s">
        <v>2477</v>
      </c>
      <c r="H387" s="145">
        <f>((2.18*1.14)*3)*2+((2.18*(1.14+0.35))*1)*2</f>
        <v>21.407599999999999</v>
      </c>
      <c r="O387" s="1"/>
    </row>
    <row r="388" spans="2:65" s="11" customFormat="1">
      <c r="B388" s="141"/>
      <c r="D388" s="142" t="s">
        <v>95</v>
      </c>
      <c r="E388" s="143" t="s">
        <v>2</v>
      </c>
      <c r="F388" s="144" t="s">
        <v>2479</v>
      </c>
      <c r="H388" s="145">
        <f>((1.99*3.035)*1)*2</f>
        <v>12.0793</v>
      </c>
      <c r="O388" s="1"/>
    </row>
    <row r="389" spans="2:65" s="11" customFormat="1">
      <c r="B389" s="141"/>
      <c r="D389" s="142" t="s">
        <v>95</v>
      </c>
      <c r="E389" s="143" t="s">
        <v>2</v>
      </c>
      <c r="F389" s="144" t="s">
        <v>2478</v>
      </c>
      <c r="H389" s="145">
        <f>((0.7*1.4)*2)*2+((1.1*2)*1)*2</f>
        <v>8.32</v>
      </c>
      <c r="O389" s="1"/>
    </row>
    <row r="390" spans="2:65" s="12" customFormat="1">
      <c r="B390" s="146"/>
      <c r="D390" s="142" t="s">
        <v>95</v>
      </c>
      <c r="E390" s="147" t="s">
        <v>2</v>
      </c>
      <c r="F390" s="148" t="s">
        <v>96</v>
      </c>
      <c r="H390" s="149">
        <f>SUM(H387:H389)</f>
        <v>41.806899999999999</v>
      </c>
      <c r="O390" s="1"/>
    </row>
    <row r="391" spans="2:65" s="1" customFormat="1" ht="22.5" customHeight="1">
      <c r="B391" s="39"/>
      <c r="C391" s="135">
        <f>C386+1</f>
        <v>62</v>
      </c>
      <c r="D391" s="135" t="s">
        <v>65</v>
      </c>
      <c r="E391" s="136" t="s">
        <v>160</v>
      </c>
      <c r="F391" s="137" t="s">
        <v>161</v>
      </c>
      <c r="G391" s="138" t="s">
        <v>105</v>
      </c>
      <c r="H391" s="139">
        <f>H393</f>
        <v>9.6914999999999996</v>
      </c>
      <c r="I391" s="90"/>
      <c r="J391" s="140">
        <f>ROUND(I391*H391,2)</f>
        <v>0</v>
      </c>
      <c r="K391" s="137"/>
      <c r="P391" s="1">
        <f>H391*0.05*0.03</f>
        <v>1.4537249999999998E-2</v>
      </c>
      <c r="AR391" s="313" t="s">
        <v>67</v>
      </c>
      <c r="AT391" s="313" t="s">
        <v>65</v>
      </c>
      <c r="AU391" s="313" t="s">
        <v>42</v>
      </c>
      <c r="AY391" s="313" t="s">
        <v>1289</v>
      </c>
      <c r="BE391" s="328">
        <f>IF(N391="základní",J391,0)</f>
        <v>0</v>
      </c>
      <c r="BF391" s="328">
        <f>IF(N391="snížená",J391,0)</f>
        <v>0</v>
      </c>
      <c r="BG391" s="328">
        <f>IF(N391="zákl. přenesená",J391,0)</f>
        <v>0</v>
      </c>
      <c r="BH391" s="328">
        <f>IF(N391="sníž. přenesená",J391,0)</f>
        <v>0</v>
      </c>
      <c r="BI391" s="328">
        <f>IF(N391="nulová",J391,0)</f>
        <v>0</v>
      </c>
      <c r="BJ391" s="313" t="s">
        <v>9</v>
      </c>
      <c r="BK391" s="328">
        <f>ROUND(I391*H391,2)</f>
        <v>0</v>
      </c>
      <c r="BL391" s="313" t="s">
        <v>67</v>
      </c>
      <c r="BM391" s="313" t="s">
        <v>1290</v>
      </c>
    </row>
    <row r="392" spans="2:65" s="11" customFormat="1" ht="27">
      <c r="B392" s="141"/>
      <c r="D392" s="142" t="s">
        <v>95</v>
      </c>
      <c r="E392" s="143" t="s">
        <v>2</v>
      </c>
      <c r="F392" s="144" t="s">
        <v>2480</v>
      </c>
      <c r="H392" s="145">
        <f>((2.3+2.905+2.245+2.3)*0.25)*2+((2.3+2.905+2.245+2.3)*0.494)*1</f>
        <v>9.6914999999999996</v>
      </c>
      <c r="L392" s="1"/>
      <c r="M392" s="1"/>
      <c r="N392" s="1"/>
      <c r="O392" s="1"/>
      <c r="P392" s="1"/>
      <c r="Q392" s="1"/>
      <c r="R392" s="1"/>
      <c r="S392" s="1"/>
      <c r="T392" s="1"/>
      <c r="U392" s="1"/>
      <c r="AT392" s="143" t="s">
        <v>95</v>
      </c>
      <c r="AU392" s="143" t="s">
        <v>42</v>
      </c>
      <c r="AV392" s="11" t="s">
        <v>42</v>
      </c>
      <c r="AW392" s="11" t="s">
        <v>1291</v>
      </c>
      <c r="AX392" s="11" t="s">
        <v>1292</v>
      </c>
      <c r="AY392" s="143" t="s">
        <v>1289</v>
      </c>
    </row>
    <row r="393" spans="2:65" s="12" customFormat="1">
      <c r="B393" s="146"/>
      <c r="D393" s="142" t="s">
        <v>95</v>
      </c>
      <c r="E393" s="342" t="s">
        <v>2</v>
      </c>
      <c r="F393" s="343" t="s">
        <v>96</v>
      </c>
      <c r="H393" s="149">
        <f>SUM(H392:H392)</f>
        <v>9.6914999999999996</v>
      </c>
      <c r="L393" s="1"/>
      <c r="M393" s="1"/>
      <c r="N393" s="1"/>
      <c r="O393" s="1"/>
      <c r="P393" s="1"/>
      <c r="Q393" s="1"/>
      <c r="R393" s="1"/>
      <c r="S393" s="1"/>
      <c r="T393" s="1"/>
      <c r="U393" s="1"/>
      <c r="AT393" s="342" t="s">
        <v>95</v>
      </c>
      <c r="AU393" s="342" t="s">
        <v>42</v>
      </c>
      <c r="AV393" s="12" t="s">
        <v>67</v>
      </c>
      <c r="AW393" s="12" t="s">
        <v>1291</v>
      </c>
      <c r="AX393" s="12" t="s">
        <v>9</v>
      </c>
      <c r="AY393" s="342" t="s">
        <v>1289</v>
      </c>
    </row>
    <row r="394" spans="2:65" s="1" customFormat="1" ht="28.15" customHeight="1">
      <c r="B394" s="39"/>
      <c r="C394" s="150">
        <f>C391+1</f>
        <v>63</v>
      </c>
      <c r="D394" s="150" t="s">
        <v>123</v>
      </c>
      <c r="E394" s="151" t="s">
        <v>1295</v>
      </c>
      <c r="F394" s="152" t="s">
        <v>1296</v>
      </c>
      <c r="G394" s="153" t="s">
        <v>105</v>
      </c>
      <c r="H394" s="154">
        <f>H396</f>
        <v>10.661200000000001</v>
      </c>
      <c r="I394" s="91"/>
      <c r="J394" s="155">
        <f>ROUND(I394*H394,2)</f>
        <v>0</v>
      </c>
      <c r="K394" s="152"/>
      <c r="P394" s="1">
        <f>H394*0.05*0.03</f>
        <v>1.59918E-2</v>
      </c>
      <c r="AR394" s="313" t="s">
        <v>1293</v>
      </c>
      <c r="AT394" s="313" t="s">
        <v>123</v>
      </c>
      <c r="AU394" s="313" t="s">
        <v>42</v>
      </c>
      <c r="AY394" s="313" t="s">
        <v>1289</v>
      </c>
      <c r="BE394" s="328">
        <f>IF(N394="základní",J394,0)</f>
        <v>0</v>
      </c>
      <c r="BF394" s="328">
        <f>IF(N394="snížená",J394,0)</f>
        <v>0</v>
      </c>
      <c r="BG394" s="328">
        <f>IF(N394="zákl. přenesená",J394,0)</f>
        <v>0</v>
      </c>
      <c r="BH394" s="328">
        <f>IF(N394="sníž. přenesená",J394,0)</f>
        <v>0</v>
      </c>
      <c r="BI394" s="328">
        <f>IF(N394="nulová",J394,0)</f>
        <v>0</v>
      </c>
      <c r="BJ394" s="313" t="s">
        <v>9</v>
      </c>
      <c r="BK394" s="328">
        <f>ROUND(I394*H394,2)</f>
        <v>0</v>
      </c>
      <c r="BL394" s="313" t="s">
        <v>67</v>
      </c>
      <c r="BM394" s="313" t="s">
        <v>1294</v>
      </c>
    </row>
    <row r="395" spans="2:65" s="11" customFormat="1">
      <c r="B395" s="141"/>
      <c r="D395" s="142" t="s">
        <v>95</v>
      </c>
      <c r="E395" s="143" t="s">
        <v>2</v>
      </c>
      <c r="F395" s="144" t="s">
        <v>2481</v>
      </c>
      <c r="H395" s="145">
        <f>(9.692)*1.1</f>
        <v>10.661200000000001</v>
      </c>
      <c r="L395" s="1"/>
      <c r="M395" s="1"/>
      <c r="N395" s="1"/>
      <c r="O395" s="1"/>
      <c r="P395" s="1"/>
      <c r="Q395" s="1"/>
      <c r="R395" s="1"/>
      <c r="S395" s="1"/>
      <c r="T395" s="1"/>
      <c r="U395" s="1"/>
      <c r="AT395" s="143" t="s">
        <v>95</v>
      </c>
      <c r="AU395" s="143" t="s">
        <v>42</v>
      </c>
      <c r="AV395" s="11" t="s">
        <v>42</v>
      </c>
      <c r="AW395" s="11" t="s">
        <v>1291</v>
      </c>
      <c r="AX395" s="11" t="s">
        <v>1292</v>
      </c>
      <c r="AY395" s="143" t="s">
        <v>1289</v>
      </c>
    </row>
    <row r="396" spans="2:65" s="12" customFormat="1">
      <c r="B396" s="146"/>
      <c r="D396" s="142" t="s">
        <v>95</v>
      </c>
      <c r="E396" s="342" t="s">
        <v>2</v>
      </c>
      <c r="F396" s="343" t="s">
        <v>96</v>
      </c>
      <c r="H396" s="149">
        <f>SUM(H395:H395)</f>
        <v>10.661200000000001</v>
      </c>
      <c r="L396" s="1"/>
      <c r="M396" s="1"/>
      <c r="N396" s="1"/>
      <c r="O396" s="1"/>
      <c r="P396" s="1"/>
      <c r="Q396" s="1"/>
      <c r="R396" s="1"/>
      <c r="S396" s="1"/>
      <c r="T396" s="1"/>
      <c r="U396" s="1"/>
      <c r="AT396" s="342" t="s">
        <v>95</v>
      </c>
      <c r="AU396" s="342" t="s">
        <v>42</v>
      </c>
      <c r="AV396" s="12" t="s">
        <v>67</v>
      </c>
      <c r="AW396" s="12" t="s">
        <v>1291</v>
      </c>
      <c r="AX396" s="12" t="s">
        <v>9</v>
      </c>
      <c r="AY396" s="342" t="s">
        <v>1289</v>
      </c>
    </row>
    <row r="397" spans="2:65" s="1" customFormat="1" ht="31.5" customHeight="1">
      <c r="B397" s="39"/>
      <c r="C397" s="135">
        <f>C394+1</f>
        <v>64</v>
      </c>
      <c r="D397" s="135" t="s">
        <v>65</v>
      </c>
      <c r="E397" s="136" t="s">
        <v>165</v>
      </c>
      <c r="F397" s="137" t="s">
        <v>166</v>
      </c>
      <c r="G397" s="138" t="s">
        <v>94</v>
      </c>
      <c r="H397" s="139">
        <f>H399</f>
        <v>0.46082800000000002</v>
      </c>
      <c r="I397" s="90"/>
      <c r="J397" s="140">
        <f>ROUND(I397*H397,2)</f>
        <v>0</v>
      </c>
      <c r="K397" s="137"/>
      <c r="P397" s="1">
        <f>H397*2.45</f>
        <v>1.1290286</v>
      </c>
    </row>
    <row r="398" spans="2:65" s="11" customFormat="1">
      <c r="B398" s="141"/>
      <c r="D398" s="142" t="s">
        <v>95</v>
      </c>
      <c r="E398" s="143" t="s">
        <v>2</v>
      </c>
      <c r="F398" s="144" t="s">
        <v>2482</v>
      </c>
      <c r="H398" s="145">
        <f>((2.305*2)+(1.14*0.35))*0.092</f>
        <v>0.46082800000000002</v>
      </c>
      <c r="O398" s="1"/>
    </row>
    <row r="399" spans="2:65" s="12" customFormat="1">
      <c r="B399" s="146"/>
      <c r="D399" s="142" t="s">
        <v>95</v>
      </c>
      <c r="E399" s="147" t="s">
        <v>2</v>
      </c>
      <c r="F399" s="148" t="s">
        <v>96</v>
      </c>
      <c r="H399" s="149">
        <f>SUM(H398:H398)</f>
        <v>0.46082800000000002</v>
      </c>
      <c r="O399" s="1"/>
    </row>
    <row r="400" spans="2:65" s="1" customFormat="1" ht="31.5" customHeight="1">
      <c r="B400" s="39"/>
      <c r="C400" s="135">
        <f>C397+1</f>
        <v>65</v>
      </c>
      <c r="D400" s="135" t="s">
        <v>65</v>
      </c>
      <c r="E400" s="136" t="s">
        <v>167</v>
      </c>
      <c r="F400" s="137" t="s">
        <v>168</v>
      </c>
      <c r="G400" s="138" t="s">
        <v>94</v>
      </c>
      <c r="H400" s="139">
        <f>H402</f>
        <v>0.46147199999999994</v>
      </c>
      <c r="I400" s="90"/>
      <c r="J400" s="140">
        <f>ROUND(I400*H400,2)</f>
        <v>0</v>
      </c>
      <c r="K400" s="137"/>
      <c r="P400" s="1">
        <f>H400*0.245</f>
        <v>0.11306063999999998</v>
      </c>
    </row>
    <row r="401" spans="2:16" s="11" customFormat="1">
      <c r="B401" s="141"/>
      <c r="D401" s="142" t="s">
        <v>95</v>
      </c>
      <c r="E401" s="143" t="s">
        <v>2</v>
      </c>
      <c r="F401" s="144" t="s">
        <v>2482</v>
      </c>
      <c r="H401" s="145">
        <f>((2.025*2.28)+(1.14*0.35))*0.092</f>
        <v>0.46147199999999994</v>
      </c>
      <c r="O401" s="1"/>
    </row>
    <row r="402" spans="2:16" s="12" customFormat="1">
      <c r="B402" s="146"/>
      <c r="D402" s="142" t="s">
        <v>95</v>
      </c>
      <c r="E402" s="147" t="s">
        <v>2</v>
      </c>
      <c r="F402" s="148" t="s">
        <v>96</v>
      </c>
      <c r="H402" s="149">
        <f>SUM(H401:H401)</f>
        <v>0.46147199999999994</v>
      </c>
      <c r="O402" s="1"/>
    </row>
    <row r="403" spans="2:16" s="1" customFormat="1" ht="22.5" customHeight="1">
      <c r="B403" s="39"/>
      <c r="C403" s="135">
        <f>C400+1</f>
        <v>66</v>
      </c>
      <c r="D403" s="135" t="s">
        <v>65</v>
      </c>
      <c r="E403" s="136" t="s">
        <v>169</v>
      </c>
      <c r="F403" s="137" t="s">
        <v>170</v>
      </c>
      <c r="G403" s="138" t="s">
        <v>105</v>
      </c>
      <c r="H403" s="139">
        <f>H405</f>
        <v>0.56999999999999995</v>
      </c>
      <c r="I403" s="90"/>
      <c r="J403" s="140">
        <f>ROUND(I403*H403,2)</f>
        <v>0</v>
      </c>
      <c r="K403" s="137"/>
      <c r="P403" s="1">
        <f>H403*0.05</f>
        <v>2.8499999999999998E-2</v>
      </c>
    </row>
    <row r="404" spans="2:16" s="11" customFormat="1">
      <c r="B404" s="141"/>
      <c r="D404" s="142" t="s">
        <v>95</v>
      </c>
      <c r="E404" s="143" t="s">
        <v>2</v>
      </c>
      <c r="F404" s="144" t="s">
        <v>1015</v>
      </c>
      <c r="H404" s="145">
        <f>1.14*0.5</f>
        <v>0.56999999999999995</v>
      </c>
      <c r="O404" s="1"/>
    </row>
    <row r="405" spans="2:16" s="12" customFormat="1">
      <c r="B405" s="146"/>
      <c r="D405" s="142" t="s">
        <v>95</v>
      </c>
      <c r="E405" s="147" t="s">
        <v>2</v>
      </c>
      <c r="F405" s="148" t="s">
        <v>96</v>
      </c>
      <c r="H405" s="149">
        <f>SUM(H404:H404)</f>
        <v>0.56999999999999995</v>
      </c>
      <c r="O405" s="1"/>
    </row>
    <row r="406" spans="2:16" s="1" customFormat="1" ht="22.5" customHeight="1">
      <c r="B406" s="39"/>
      <c r="C406" s="135">
        <f>C403+1</f>
        <v>67</v>
      </c>
      <c r="D406" s="135" t="s">
        <v>65</v>
      </c>
      <c r="E406" s="136" t="s">
        <v>171</v>
      </c>
      <c r="F406" s="137" t="s">
        <v>172</v>
      </c>
      <c r="G406" s="138" t="s">
        <v>105</v>
      </c>
      <c r="H406" s="139">
        <f>H408</f>
        <v>0.56999999999999995</v>
      </c>
      <c r="I406" s="90"/>
      <c r="J406" s="140">
        <f>ROUND(I406*H406,2)</f>
        <v>0</v>
      </c>
      <c r="K406" s="137"/>
      <c r="P406" s="1">
        <f>H406*0.05</f>
        <v>2.8499999999999998E-2</v>
      </c>
    </row>
    <row r="407" spans="2:16" s="11" customFormat="1">
      <c r="B407" s="141"/>
      <c r="D407" s="142" t="s">
        <v>95</v>
      </c>
      <c r="E407" s="143" t="s">
        <v>2</v>
      </c>
      <c r="F407" s="144" t="s">
        <v>1015</v>
      </c>
      <c r="H407" s="145">
        <f>1.14*0.5</f>
        <v>0.56999999999999995</v>
      </c>
      <c r="O407" s="1"/>
    </row>
    <row r="408" spans="2:16" s="12" customFormat="1">
      <c r="B408" s="146"/>
      <c r="D408" s="142" t="s">
        <v>95</v>
      </c>
      <c r="E408" s="147" t="s">
        <v>2</v>
      </c>
      <c r="F408" s="148" t="s">
        <v>96</v>
      </c>
      <c r="H408" s="149">
        <f>SUM(H407:H407)</f>
        <v>0.56999999999999995</v>
      </c>
      <c r="O408" s="1"/>
    </row>
    <row r="409" spans="2:16" s="1" customFormat="1" ht="22.5" customHeight="1">
      <c r="B409" s="39"/>
      <c r="C409" s="135">
        <f>C406+1</f>
        <v>68</v>
      </c>
      <c r="D409" s="135" t="s">
        <v>65</v>
      </c>
      <c r="E409" s="136" t="s">
        <v>2041</v>
      </c>
      <c r="F409" s="137" t="s">
        <v>2042</v>
      </c>
      <c r="G409" s="138" t="s">
        <v>105</v>
      </c>
      <c r="H409" s="139">
        <f>H414</f>
        <v>1.5285</v>
      </c>
      <c r="I409" s="90"/>
      <c r="J409" s="140">
        <f>ROUND(I409*H409,2)</f>
        <v>0</v>
      </c>
      <c r="K409" s="137"/>
      <c r="P409" s="1">
        <f>H409*0.04*2.125</f>
        <v>0.1299225</v>
      </c>
    </row>
    <row r="410" spans="2:16" s="11" customFormat="1">
      <c r="B410" s="141"/>
      <c r="D410" s="142" t="s">
        <v>95</v>
      </c>
      <c r="E410" s="143" t="s">
        <v>2</v>
      </c>
      <c r="F410" s="144" t="s">
        <v>2044</v>
      </c>
      <c r="H410" s="145">
        <f>(0.7*0.3)</f>
        <v>0.21</v>
      </c>
      <c r="O410" s="1"/>
    </row>
    <row r="411" spans="2:16" s="11" customFormat="1">
      <c r="B411" s="141"/>
      <c r="D411" s="142" t="s">
        <v>95</v>
      </c>
      <c r="E411" s="143" t="s">
        <v>2</v>
      </c>
      <c r="F411" s="144" t="s">
        <v>2045</v>
      </c>
      <c r="H411" s="145">
        <f>(0.7*0.25)</f>
        <v>0.17499999999999999</v>
      </c>
      <c r="O411" s="1"/>
    </row>
    <row r="412" spans="2:16" s="11" customFormat="1">
      <c r="B412" s="141"/>
      <c r="D412" s="142" t="s">
        <v>95</v>
      </c>
      <c r="E412" s="143" t="s">
        <v>2</v>
      </c>
      <c r="F412" s="144" t="s">
        <v>2483</v>
      </c>
      <c r="H412" s="145">
        <f>(1.1*0.25)</f>
        <v>0.27500000000000002</v>
      </c>
      <c r="O412" s="1"/>
    </row>
    <row r="413" spans="2:16" s="11" customFormat="1">
      <c r="B413" s="141"/>
      <c r="D413" s="142" t="s">
        <v>95</v>
      </c>
      <c r="E413" s="143" t="s">
        <v>2</v>
      </c>
      <c r="F413" s="144" t="s">
        <v>2046</v>
      </c>
      <c r="H413" s="145">
        <f>(0.965*0.3)*3</f>
        <v>0.86849999999999994</v>
      </c>
      <c r="O413" s="1"/>
    </row>
    <row r="414" spans="2:16" s="12" customFormat="1">
      <c r="B414" s="146"/>
      <c r="D414" s="142" t="s">
        <v>95</v>
      </c>
      <c r="E414" s="342" t="s">
        <v>2</v>
      </c>
      <c r="F414" s="343" t="s">
        <v>96</v>
      </c>
      <c r="H414" s="149">
        <f>SUM(H410:H413)</f>
        <v>1.5285</v>
      </c>
      <c r="O414" s="1"/>
    </row>
    <row r="415" spans="2:16" s="1" customFormat="1" ht="22.5" customHeight="1">
      <c r="B415" s="39"/>
      <c r="C415" s="135">
        <f>C409+1</f>
        <v>69</v>
      </c>
      <c r="D415" s="135" t="s">
        <v>65</v>
      </c>
      <c r="E415" s="136" t="s">
        <v>175</v>
      </c>
      <c r="F415" s="137" t="s">
        <v>176</v>
      </c>
      <c r="G415" s="138" t="s">
        <v>105</v>
      </c>
      <c r="H415" s="139">
        <f>H417</f>
        <v>5.0090000000000003</v>
      </c>
      <c r="I415" s="90"/>
      <c r="J415" s="140">
        <f>ROUND(I415*H415,2)</f>
        <v>0</v>
      </c>
      <c r="K415" s="137"/>
      <c r="P415" s="1">
        <f>H415*0.04*2.125</f>
        <v>0.425765</v>
      </c>
    </row>
    <row r="416" spans="2:16" s="11" customFormat="1">
      <c r="B416" s="141"/>
      <c r="D416" s="142" t="s">
        <v>95</v>
      </c>
      <c r="E416" s="143" t="s">
        <v>2</v>
      </c>
      <c r="F416" s="144" t="s">
        <v>2484</v>
      </c>
      <c r="H416" s="145">
        <f>(2.305*2)+(1.14*0.35)</f>
        <v>5.0090000000000003</v>
      </c>
      <c r="O416" s="1"/>
    </row>
    <row r="417" spans="2:16" s="12" customFormat="1">
      <c r="B417" s="146"/>
      <c r="D417" s="142" t="s">
        <v>95</v>
      </c>
      <c r="E417" s="147" t="s">
        <v>2</v>
      </c>
      <c r="F417" s="148" t="s">
        <v>96</v>
      </c>
      <c r="H417" s="149">
        <f>SUM(H416:H416)</f>
        <v>5.0090000000000003</v>
      </c>
      <c r="O417" s="1"/>
    </row>
    <row r="418" spans="2:16" s="1" customFormat="1" ht="22.5" customHeight="1">
      <c r="B418" s="39"/>
      <c r="C418" s="135">
        <f>C415+1</f>
        <v>70</v>
      </c>
      <c r="D418" s="135" t="s">
        <v>65</v>
      </c>
      <c r="E418" s="136" t="s">
        <v>177</v>
      </c>
      <c r="F418" s="137" t="s">
        <v>178</v>
      </c>
      <c r="G418" s="138" t="s">
        <v>155</v>
      </c>
      <c r="H418" s="139">
        <f>H420</f>
        <v>41.129999999999995</v>
      </c>
      <c r="I418" s="90"/>
      <c r="J418" s="140">
        <f>ROUND(I418*H418,2)</f>
        <v>0</v>
      </c>
      <c r="K418" s="137"/>
      <c r="P418" s="1">
        <f>H418*0.001</f>
        <v>4.1129999999999993E-2</v>
      </c>
    </row>
    <row r="419" spans="2:16" s="11" customFormat="1" ht="24" customHeight="1">
      <c r="B419" s="141"/>
      <c r="D419" s="142" t="s">
        <v>95</v>
      </c>
      <c r="E419" s="143" t="s">
        <v>2</v>
      </c>
      <c r="F419" s="144" t="s">
        <v>2485</v>
      </c>
      <c r="H419" s="145">
        <f>((2+2.305+2.2)*2+(0.35)*2)*3</f>
        <v>41.129999999999995</v>
      </c>
      <c r="O419" s="1"/>
    </row>
    <row r="420" spans="2:16" s="12" customFormat="1">
      <c r="B420" s="146"/>
      <c r="D420" s="142" t="s">
        <v>95</v>
      </c>
      <c r="E420" s="147" t="s">
        <v>2</v>
      </c>
      <c r="F420" s="148" t="s">
        <v>96</v>
      </c>
      <c r="H420" s="149">
        <f>SUM(H419:H419)</f>
        <v>41.129999999999995</v>
      </c>
      <c r="O420" s="1"/>
    </row>
    <row r="421" spans="2:16" s="1" customFormat="1" ht="28.15" customHeight="1">
      <c r="B421" s="39"/>
      <c r="C421" s="135">
        <f>C418+1</f>
        <v>71</v>
      </c>
      <c r="D421" s="135" t="s">
        <v>65</v>
      </c>
      <c r="E421" s="136" t="s">
        <v>179</v>
      </c>
      <c r="F421" s="137" t="s">
        <v>180</v>
      </c>
      <c r="G421" s="138" t="s">
        <v>155</v>
      </c>
      <c r="H421" s="139">
        <f>H423</f>
        <v>41.129999999999995</v>
      </c>
      <c r="I421" s="90"/>
      <c r="J421" s="140">
        <f>ROUND(I421*H421,2)</f>
        <v>0</v>
      </c>
      <c r="K421" s="137"/>
      <c r="P421" s="1">
        <f>H421*0.003</f>
        <v>0.12338999999999999</v>
      </c>
    </row>
    <row r="422" spans="2:16" s="11" customFormat="1" ht="24" customHeight="1">
      <c r="B422" s="141"/>
      <c r="D422" s="142" t="s">
        <v>95</v>
      </c>
      <c r="E422" s="143" t="s">
        <v>2</v>
      </c>
      <c r="F422" s="144" t="s">
        <v>2485</v>
      </c>
      <c r="H422" s="145">
        <f>((2+2.305+2.2)*2+(0.35)*2)*3</f>
        <v>41.129999999999995</v>
      </c>
      <c r="O422" s="1"/>
    </row>
    <row r="423" spans="2:16" s="12" customFormat="1">
      <c r="B423" s="146"/>
      <c r="D423" s="142" t="s">
        <v>95</v>
      </c>
      <c r="E423" s="147" t="s">
        <v>2</v>
      </c>
      <c r="F423" s="148" t="s">
        <v>96</v>
      </c>
      <c r="H423" s="149">
        <f>SUM(H422:H422)</f>
        <v>41.129999999999995</v>
      </c>
      <c r="O423" s="1"/>
    </row>
    <row r="424" spans="2:16" s="1" customFormat="1" ht="22.15" customHeight="1">
      <c r="B424" s="39"/>
      <c r="C424" s="135">
        <f>C421+1</f>
        <v>72</v>
      </c>
      <c r="D424" s="135" t="s">
        <v>65</v>
      </c>
      <c r="E424" s="136" t="s">
        <v>1016</v>
      </c>
      <c r="F424" s="137" t="s">
        <v>1017</v>
      </c>
      <c r="G424" s="138" t="s">
        <v>105</v>
      </c>
      <c r="H424" s="139">
        <f>H426</f>
        <v>7.9775000000000009</v>
      </c>
      <c r="I424" s="90"/>
      <c r="J424" s="140">
        <f>ROUND(I424*H424,2)</f>
        <v>0</v>
      </c>
      <c r="K424" s="137"/>
      <c r="P424" s="1">
        <f>H424*0.125</f>
        <v>0.99718750000000012</v>
      </c>
    </row>
    <row r="425" spans="2:16" s="11" customFormat="1">
      <c r="B425" s="141"/>
      <c r="D425" s="142" t="s">
        <v>95</v>
      </c>
      <c r="E425" s="143" t="s">
        <v>2</v>
      </c>
      <c r="F425" s="144" t="s">
        <v>1018</v>
      </c>
      <c r="H425" s="145">
        <f>(2.97+10.015+2.97)*0.5</f>
        <v>7.9775000000000009</v>
      </c>
      <c r="O425" s="1"/>
    </row>
    <row r="426" spans="2:16" s="12" customFormat="1">
      <c r="B426" s="146"/>
      <c r="D426" s="142" t="s">
        <v>95</v>
      </c>
      <c r="E426" s="147" t="s">
        <v>2</v>
      </c>
      <c r="F426" s="148" t="s">
        <v>96</v>
      </c>
      <c r="H426" s="149">
        <f>SUM(H425:H425)</f>
        <v>7.9775000000000009</v>
      </c>
      <c r="O426" s="1"/>
    </row>
    <row r="427" spans="2:16" s="1" customFormat="1" ht="22.5" customHeight="1">
      <c r="B427" s="39"/>
      <c r="C427" s="135">
        <f>C424+1</f>
        <v>73</v>
      </c>
      <c r="D427" s="135" t="s">
        <v>65</v>
      </c>
      <c r="E427" s="136" t="s">
        <v>613</v>
      </c>
      <c r="F427" s="137" t="s">
        <v>614</v>
      </c>
      <c r="G427" s="138" t="s">
        <v>105</v>
      </c>
      <c r="H427" s="139">
        <f>H429</f>
        <v>6.7350000000000003</v>
      </c>
      <c r="I427" s="90"/>
      <c r="J427" s="140">
        <f>ROUND(I427*H427,2)</f>
        <v>0</v>
      </c>
      <c r="K427" s="137"/>
      <c r="P427" s="1">
        <f>H427*0.025</f>
        <v>0.16837500000000002</v>
      </c>
    </row>
    <row r="428" spans="2:16" s="11" customFormat="1">
      <c r="B428" s="141"/>
      <c r="D428" s="142" t="s">
        <v>95</v>
      </c>
      <c r="E428" s="143" t="s">
        <v>2</v>
      </c>
      <c r="F428" s="144" t="s">
        <v>2580</v>
      </c>
      <c r="H428" s="145">
        <f>(2*2.245)*1.5</f>
        <v>6.7350000000000003</v>
      </c>
    </row>
    <row r="429" spans="2:16" s="12" customFormat="1">
      <c r="B429" s="146"/>
      <c r="D429" s="142" t="s">
        <v>95</v>
      </c>
      <c r="E429" s="147" t="s">
        <v>2</v>
      </c>
      <c r="F429" s="148" t="s">
        <v>96</v>
      </c>
      <c r="H429" s="149">
        <f>SUM(H428:H428)</f>
        <v>6.7350000000000003</v>
      </c>
    </row>
    <row r="430" spans="2:16" s="1" customFormat="1" ht="22.5" customHeight="1">
      <c r="B430" s="39"/>
      <c r="C430" s="135">
        <f>C427+1</f>
        <v>74</v>
      </c>
      <c r="D430" s="135" t="s">
        <v>65</v>
      </c>
      <c r="E430" s="136" t="s">
        <v>615</v>
      </c>
      <c r="F430" s="137" t="s">
        <v>618</v>
      </c>
      <c r="G430" s="138" t="s">
        <v>105</v>
      </c>
      <c r="H430" s="139">
        <f>H432</f>
        <v>13.47</v>
      </c>
      <c r="I430" s="90"/>
      <c r="J430" s="140">
        <f>ROUND(I430*H430,2)</f>
        <v>0</v>
      </c>
      <c r="K430" s="137"/>
      <c r="P430" s="1">
        <f>H430*0.002</f>
        <v>2.6940000000000002E-2</v>
      </c>
    </row>
    <row r="431" spans="2:16" s="11" customFormat="1">
      <c r="B431" s="141"/>
      <c r="D431" s="142" t="s">
        <v>95</v>
      </c>
      <c r="E431" s="143" t="s">
        <v>2</v>
      </c>
      <c r="F431" s="144" t="s">
        <v>2581</v>
      </c>
      <c r="H431" s="145">
        <f>(2*2.245)*1.5*2</f>
        <v>13.47</v>
      </c>
    </row>
    <row r="432" spans="2:16" s="12" customFormat="1">
      <c r="B432" s="146"/>
      <c r="D432" s="142" t="s">
        <v>95</v>
      </c>
      <c r="E432" s="147" t="s">
        <v>2</v>
      </c>
      <c r="F432" s="148" t="s">
        <v>96</v>
      </c>
      <c r="H432" s="149">
        <f>SUM(H431:H431)</f>
        <v>13.47</v>
      </c>
    </row>
    <row r="433" spans="2:16" s="1" customFormat="1" ht="22.5" customHeight="1">
      <c r="B433" s="39"/>
      <c r="C433" s="150">
        <f>C430+1</f>
        <v>75</v>
      </c>
      <c r="D433" s="150" t="s">
        <v>123</v>
      </c>
      <c r="E433" s="151" t="s">
        <v>616</v>
      </c>
      <c r="F433" s="152" t="s">
        <v>617</v>
      </c>
      <c r="G433" s="153" t="s">
        <v>105</v>
      </c>
      <c r="H433" s="154">
        <f>H435</f>
        <v>17.511000000000003</v>
      </c>
      <c r="I433" s="91"/>
      <c r="J433" s="155">
        <f>H433*I433</f>
        <v>0</v>
      </c>
      <c r="K433" s="152"/>
      <c r="P433" s="1">
        <f>H433*0.002</f>
        <v>3.5022000000000005E-2</v>
      </c>
    </row>
    <row r="434" spans="2:16" s="11" customFormat="1">
      <c r="B434" s="141"/>
      <c r="D434" s="142" t="s">
        <v>95</v>
      </c>
      <c r="E434" s="143" t="s">
        <v>2</v>
      </c>
      <c r="F434" s="144" t="s">
        <v>2582</v>
      </c>
      <c r="H434" s="145">
        <f>(2*2.245)*1.5*2*1.3</f>
        <v>17.511000000000003</v>
      </c>
    </row>
    <row r="435" spans="2:16" s="12" customFormat="1">
      <c r="B435" s="146"/>
      <c r="D435" s="142" t="s">
        <v>95</v>
      </c>
      <c r="E435" s="147" t="s">
        <v>2</v>
      </c>
      <c r="F435" s="148" t="s">
        <v>96</v>
      </c>
      <c r="H435" s="149">
        <f>SUM(H434:H434)</f>
        <v>17.511000000000003</v>
      </c>
    </row>
    <row r="436" spans="2:16" s="1" customFormat="1">
      <c r="B436" s="39"/>
      <c r="C436" s="135">
        <f>C433+1</f>
        <v>76</v>
      </c>
      <c r="D436" s="135" t="s">
        <v>65</v>
      </c>
      <c r="E436" s="136" t="s">
        <v>915</v>
      </c>
      <c r="F436" s="137" t="s">
        <v>916</v>
      </c>
      <c r="G436" s="138" t="s">
        <v>105</v>
      </c>
      <c r="H436" s="139">
        <f>H438</f>
        <v>4.49</v>
      </c>
      <c r="I436" s="90"/>
      <c r="J436" s="140">
        <f>ROUND(I436*H436,2)</f>
        <v>0</v>
      </c>
      <c r="K436" s="137"/>
      <c r="P436" s="1">
        <f>H436*0.3*2.85</f>
        <v>3.8389500000000001</v>
      </c>
    </row>
    <row r="437" spans="2:16" s="11" customFormat="1">
      <c r="B437" s="141"/>
      <c r="D437" s="142" t="s">
        <v>95</v>
      </c>
      <c r="E437" s="143" t="s">
        <v>2</v>
      </c>
      <c r="F437" s="144" t="s">
        <v>2583</v>
      </c>
      <c r="H437" s="145">
        <f>(2*2.245)</f>
        <v>4.49</v>
      </c>
    </row>
    <row r="438" spans="2:16" s="12" customFormat="1">
      <c r="B438" s="146"/>
      <c r="D438" s="142" t="s">
        <v>95</v>
      </c>
      <c r="E438" s="147" t="s">
        <v>2</v>
      </c>
      <c r="F438" s="148" t="s">
        <v>96</v>
      </c>
      <c r="H438" s="149">
        <f>SUM(H437:H437)</f>
        <v>4.49</v>
      </c>
    </row>
    <row r="439" spans="2:16" s="1" customFormat="1">
      <c r="B439" s="39"/>
      <c r="C439" s="135">
        <f>C436+1</f>
        <v>77</v>
      </c>
      <c r="D439" s="135" t="s">
        <v>65</v>
      </c>
      <c r="E439" s="136" t="s">
        <v>621</v>
      </c>
      <c r="F439" s="137" t="s">
        <v>918</v>
      </c>
      <c r="G439" s="138" t="s">
        <v>105</v>
      </c>
      <c r="H439" s="139">
        <f>H441</f>
        <v>4.49</v>
      </c>
      <c r="I439" s="90"/>
      <c r="J439" s="140">
        <f>ROUND(I439*H439,2)</f>
        <v>0</v>
      </c>
      <c r="K439" s="137"/>
      <c r="P439" s="1">
        <f>H439*0.2*2.85</f>
        <v>2.5593000000000004</v>
      </c>
    </row>
    <row r="440" spans="2:16" s="11" customFormat="1">
      <c r="B440" s="141"/>
      <c r="D440" s="142" t="s">
        <v>95</v>
      </c>
      <c r="E440" s="143" t="s">
        <v>2</v>
      </c>
      <c r="F440" s="144" t="s">
        <v>2583</v>
      </c>
      <c r="H440" s="145">
        <f>(2*2.245)</f>
        <v>4.49</v>
      </c>
    </row>
    <row r="441" spans="2:16" s="12" customFormat="1">
      <c r="B441" s="146"/>
      <c r="D441" s="142" t="s">
        <v>95</v>
      </c>
      <c r="E441" s="147" t="s">
        <v>2</v>
      </c>
      <c r="F441" s="148" t="s">
        <v>96</v>
      </c>
      <c r="H441" s="149">
        <f>SUM(H440:H440)</f>
        <v>4.49</v>
      </c>
    </row>
    <row r="442" spans="2:16" s="1" customFormat="1" ht="22.5" customHeight="1">
      <c r="B442" s="39"/>
      <c r="C442" s="135">
        <f>C439+1</f>
        <v>78</v>
      </c>
      <c r="D442" s="135" t="s">
        <v>65</v>
      </c>
      <c r="E442" s="136" t="s">
        <v>958</v>
      </c>
      <c r="F442" s="137" t="s">
        <v>2586</v>
      </c>
      <c r="G442" s="138" t="s">
        <v>105</v>
      </c>
      <c r="H442" s="139">
        <f>H444</f>
        <v>4.49</v>
      </c>
      <c r="I442" s="90"/>
      <c r="J442" s="140">
        <f>ROUND(I442*H442,2)</f>
        <v>0</v>
      </c>
      <c r="K442" s="137"/>
      <c r="P442" s="1">
        <f>H442*0.04*2.85</f>
        <v>0.51186000000000009</v>
      </c>
    </row>
    <row r="443" spans="2:16" s="11" customFormat="1">
      <c r="B443" s="141"/>
      <c r="D443" s="142" t="s">
        <v>95</v>
      </c>
      <c r="E443" s="143" t="s">
        <v>2</v>
      </c>
      <c r="F443" s="144" t="s">
        <v>2583</v>
      </c>
      <c r="H443" s="145">
        <f>(2*2.245)</f>
        <v>4.49</v>
      </c>
    </row>
    <row r="444" spans="2:16" s="12" customFormat="1">
      <c r="B444" s="146"/>
      <c r="D444" s="142" t="s">
        <v>95</v>
      </c>
      <c r="E444" s="147" t="s">
        <v>2</v>
      </c>
      <c r="F444" s="148" t="s">
        <v>96</v>
      </c>
      <c r="H444" s="149">
        <f>SUM(H443:H443)</f>
        <v>4.49</v>
      </c>
    </row>
    <row r="445" spans="2:16" s="1" customFormat="1" ht="22.5" customHeight="1">
      <c r="B445" s="39"/>
      <c r="C445" s="135">
        <f>C442+1</f>
        <v>79</v>
      </c>
      <c r="D445" s="135" t="s">
        <v>65</v>
      </c>
      <c r="E445" s="136" t="s">
        <v>941</v>
      </c>
      <c r="F445" s="137" t="s">
        <v>2584</v>
      </c>
      <c r="G445" s="138" t="s">
        <v>105</v>
      </c>
      <c r="H445" s="139">
        <f>H447</f>
        <v>4.49</v>
      </c>
      <c r="I445" s="90"/>
      <c r="J445" s="140">
        <f>ROUND(I445*H445,2)</f>
        <v>0</v>
      </c>
      <c r="K445" s="137"/>
      <c r="P445" s="1">
        <f>H445*0.125</f>
        <v>0.56125000000000003</v>
      </c>
    </row>
    <row r="446" spans="2:16" s="11" customFormat="1">
      <c r="B446" s="141"/>
      <c r="D446" s="142" t="s">
        <v>95</v>
      </c>
      <c r="E446" s="143" t="s">
        <v>2</v>
      </c>
      <c r="F446" s="144" t="s">
        <v>2583</v>
      </c>
      <c r="H446" s="145">
        <f>(2*2.245)</f>
        <v>4.49</v>
      </c>
    </row>
    <row r="447" spans="2:16" s="12" customFormat="1">
      <c r="B447" s="146"/>
      <c r="D447" s="142" t="s">
        <v>95</v>
      </c>
      <c r="E447" s="147" t="s">
        <v>2</v>
      </c>
      <c r="F447" s="148" t="s">
        <v>96</v>
      </c>
      <c r="H447" s="149">
        <f>SUM(H446:H446)</f>
        <v>4.49</v>
      </c>
    </row>
    <row r="448" spans="2:16" s="1" customFormat="1" ht="22.5" customHeight="1">
      <c r="B448" s="39"/>
      <c r="C448" s="150">
        <f>C445+1</f>
        <v>80</v>
      </c>
      <c r="D448" s="150" t="s">
        <v>123</v>
      </c>
      <c r="E448" s="151" t="s">
        <v>943</v>
      </c>
      <c r="F448" s="152" t="s">
        <v>942</v>
      </c>
      <c r="G448" s="153" t="s">
        <v>105</v>
      </c>
      <c r="H448" s="154">
        <f>H450</f>
        <v>5.3879999999999999</v>
      </c>
      <c r="I448" s="91"/>
      <c r="J448" s="155">
        <f>H448*I448</f>
        <v>0</v>
      </c>
      <c r="K448" s="152"/>
      <c r="P448" s="1">
        <f>H448*0.125</f>
        <v>0.67349999999999999</v>
      </c>
    </row>
    <row r="449" spans="2:16" s="11" customFormat="1">
      <c r="B449" s="141"/>
      <c r="D449" s="142" t="s">
        <v>95</v>
      </c>
      <c r="E449" s="143" t="s">
        <v>2</v>
      </c>
      <c r="F449" s="144" t="s">
        <v>2585</v>
      </c>
      <c r="H449" s="145">
        <f>(2*2.245)*1.2</f>
        <v>5.3879999999999999</v>
      </c>
    </row>
    <row r="450" spans="2:16" s="12" customFormat="1">
      <c r="B450" s="146"/>
      <c r="D450" s="142" t="s">
        <v>95</v>
      </c>
      <c r="E450" s="147" t="s">
        <v>2</v>
      </c>
      <c r="F450" s="148" t="s">
        <v>96</v>
      </c>
      <c r="H450" s="149">
        <f>SUM(H449:H449)</f>
        <v>5.3879999999999999</v>
      </c>
    </row>
    <row r="451" spans="2:16" s="1" customFormat="1" ht="22.5" customHeight="1">
      <c r="B451" s="39"/>
      <c r="C451" s="135">
        <f>C448+1</f>
        <v>81</v>
      </c>
      <c r="D451" s="135" t="s">
        <v>65</v>
      </c>
      <c r="E451" s="136" t="s">
        <v>182</v>
      </c>
      <c r="F451" s="137" t="s">
        <v>183</v>
      </c>
      <c r="G451" s="138" t="s">
        <v>115</v>
      </c>
      <c r="H451" s="139">
        <f>H453</f>
        <v>4</v>
      </c>
      <c r="I451" s="90"/>
      <c r="J451" s="140">
        <f>ROUND(I451*H451,2)</f>
        <v>0</v>
      </c>
      <c r="K451" s="137"/>
      <c r="P451" s="1">
        <f>H451*0.15</f>
        <v>0.6</v>
      </c>
    </row>
    <row r="452" spans="2:16" s="11" customFormat="1">
      <c r="B452" s="141"/>
      <c r="D452" s="142" t="s">
        <v>95</v>
      </c>
      <c r="E452" s="143" t="s">
        <v>2</v>
      </c>
      <c r="F452" s="144" t="s">
        <v>1019</v>
      </c>
      <c r="H452" s="145">
        <f>4</f>
        <v>4</v>
      </c>
      <c r="O452" s="1"/>
    </row>
    <row r="453" spans="2:16" s="12" customFormat="1">
      <c r="B453" s="146"/>
      <c r="D453" s="142" t="s">
        <v>95</v>
      </c>
      <c r="E453" s="147" t="s">
        <v>2</v>
      </c>
      <c r="F453" s="148" t="s">
        <v>96</v>
      </c>
      <c r="H453" s="149">
        <f>SUM(H452:H452)</f>
        <v>4</v>
      </c>
      <c r="O453" s="1"/>
    </row>
    <row r="454" spans="2:16" s="1" customFormat="1" ht="22.5" customHeight="1">
      <c r="B454" s="39"/>
      <c r="C454" s="150">
        <f>C451+1</f>
        <v>82</v>
      </c>
      <c r="D454" s="150" t="s">
        <v>123</v>
      </c>
      <c r="E454" s="151" t="s">
        <v>184</v>
      </c>
      <c r="F454" s="152" t="s">
        <v>1020</v>
      </c>
      <c r="G454" s="153" t="s">
        <v>115</v>
      </c>
      <c r="H454" s="154">
        <f>H456</f>
        <v>4</v>
      </c>
      <c r="I454" s="91"/>
      <c r="J454" s="155">
        <f>ROUND(I454*H454,2)</f>
        <v>0</v>
      </c>
      <c r="K454" s="152"/>
      <c r="P454" s="1">
        <f>H454*0.15</f>
        <v>0.6</v>
      </c>
    </row>
    <row r="455" spans="2:16" s="11" customFormat="1">
      <c r="B455" s="141"/>
      <c r="D455" s="142" t="s">
        <v>95</v>
      </c>
      <c r="E455" s="143" t="s">
        <v>2</v>
      </c>
      <c r="F455" s="144" t="s">
        <v>1019</v>
      </c>
      <c r="H455" s="145">
        <f>4</f>
        <v>4</v>
      </c>
      <c r="O455" s="1"/>
    </row>
    <row r="456" spans="2:16" s="12" customFormat="1">
      <c r="B456" s="146"/>
      <c r="D456" s="142" t="s">
        <v>95</v>
      </c>
      <c r="E456" s="147" t="s">
        <v>2</v>
      </c>
      <c r="F456" s="148" t="s">
        <v>96</v>
      </c>
      <c r="H456" s="149">
        <f>SUM(H455:H455)</f>
        <v>4</v>
      </c>
      <c r="O456" s="1"/>
    </row>
    <row r="457" spans="2:16" s="10" customFormat="1" ht="29.85" customHeight="1">
      <c r="B457" s="128"/>
      <c r="D457" s="129" t="s">
        <v>39</v>
      </c>
      <c r="E457" s="133" t="s">
        <v>102</v>
      </c>
      <c r="F457" s="133" t="s">
        <v>185</v>
      </c>
      <c r="J457" s="134">
        <f>SUM(J458:J579)</f>
        <v>0</v>
      </c>
      <c r="O457"/>
    </row>
    <row r="458" spans="2:16" s="1" customFormat="1" ht="22.15" customHeight="1">
      <c r="B458" s="39"/>
      <c r="C458" s="135">
        <f>C454+1</f>
        <v>83</v>
      </c>
      <c r="D458" s="135" t="s">
        <v>65</v>
      </c>
      <c r="E458" s="136" t="s">
        <v>186</v>
      </c>
      <c r="F458" s="137" t="s">
        <v>187</v>
      </c>
      <c r="G458" s="138" t="s">
        <v>105</v>
      </c>
      <c r="H458" s="139">
        <f>H463</f>
        <v>398.97750000000002</v>
      </c>
      <c r="I458" s="90"/>
      <c r="J458" s="140">
        <f>ROUND(I458*H458,2)</f>
        <v>0</v>
      </c>
      <c r="K458" s="137"/>
      <c r="P458" s="1">
        <f>H458*0.075</f>
        <v>29.923312500000002</v>
      </c>
    </row>
    <row r="459" spans="2:16" s="11" customFormat="1" ht="27">
      <c r="B459" s="141"/>
      <c r="D459" s="142" t="s">
        <v>95</v>
      </c>
      <c r="E459" s="143" t="s">
        <v>2</v>
      </c>
      <c r="F459" s="144" t="s">
        <v>2486</v>
      </c>
      <c r="H459" s="145">
        <f>(2.325+1.3+2.955+1.3+1.3+2.325+1.3)*(13+0.5)+(2.245+1.3+2.325+1.3)*(4)</f>
        <v>201.54750000000001</v>
      </c>
      <c r="O459" s="1"/>
    </row>
    <row r="460" spans="2:16" s="11" customFormat="1" ht="27">
      <c r="B460" s="141"/>
      <c r="D460" s="142" t="s">
        <v>95</v>
      </c>
      <c r="E460" s="143" t="s">
        <v>2</v>
      </c>
      <c r="F460" s="144" t="s">
        <v>1021</v>
      </c>
      <c r="H460" s="145">
        <f>(2.28-0.25+2.025-0.25-0.25+2.28-0.25+2.025-0.25-0.25)*(12.5+0.5)</f>
        <v>92.429999999999993</v>
      </c>
      <c r="O460" s="1"/>
    </row>
    <row r="461" spans="2:16" s="11" customFormat="1">
      <c r="B461" s="141"/>
      <c r="D461" s="142" t="s">
        <v>95</v>
      </c>
      <c r="E461" s="143" t="s">
        <v>2</v>
      </c>
      <c r="F461" s="144" t="s">
        <v>1022</v>
      </c>
      <c r="H461" s="145">
        <f>(2.5)*(12+0.5)*2</f>
        <v>62.5</v>
      </c>
      <c r="O461" s="1"/>
    </row>
    <row r="462" spans="2:16" s="11" customFormat="1" ht="27">
      <c r="B462" s="141"/>
      <c r="D462" s="142" t="s">
        <v>95</v>
      </c>
      <c r="E462" s="143"/>
      <c r="F462" s="144" t="s">
        <v>1023</v>
      </c>
      <c r="H462" s="145">
        <f>(2.5)*(8+0.5)*2</f>
        <v>42.5</v>
      </c>
      <c r="O462" s="1"/>
    </row>
    <row r="463" spans="2:16" s="12" customFormat="1">
      <c r="B463" s="146"/>
      <c r="D463" s="142" t="s">
        <v>95</v>
      </c>
      <c r="E463" s="147" t="s">
        <v>2</v>
      </c>
      <c r="F463" s="148" t="s">
        <v>96</v>
      </c>
      <c r="H463" s="149">
        <f>SUM(H459:H462)</f>
        <v>398.97750000000002</v>
      </c>
      <c r="O463" s="1"/>
    </row>
    <row r="464" spans="2:16" s="1" customFormat="1" ht="28.15" customHeight="1">
      <c r="B464" s="39"/>
      <c r="C464" s="135">
        <f>C458+1</f>
        <v>84</v>
      </c>
      <c r="D464" s="135" t="s">
        <v>65</v>
      </c>
      <c r="E464" s="136" t="s">
        <v>188</v>
      </c>
      <c r="F464" s="137" t="s">
        <v>189</v>
      </c>
      <c r="G464" s="138" t="s">
        <v>105</v>
      </c>
      <c r="H464" s="139">
        <f>H466</f>
        <v>23938.68</v>
      </c>
      <c r="I464" s="90"/>
      <c r="J464" s="140">
        <f>ROUND(I464*H464,2)</f>
        <v>0</v>
      </c>
      <c r="K464" s="137"/>
      <c r="P464" s="1">
        <f>H464*0.075*0.01</f>
        <v>17.95401</v>
      </c>
    </row>
    <row r="465" spans="2:16" s="11" customFormat="1">
      <c r="B465" s="141"/>
      <c r="D465" s="142" t="s">
        <v>95</v>
      </c>
      <c r="F465" s="144" t="s">
        <v>2487</v>
      </c>
      <c r="H465" s="145">
        <f>398.978*60</f>
        <v>23938.68</v>
      </c>
      <c r="O465" s="1"/>
    </row>
    <row r="466" spans="2:16" s="12" customFormat="1">
      <c r="B466" s="146"/>
      <c r="D466" s="142" t="s">
        <v>95</v>
      </c>
      <c r="E466" s="147" t="s">
        <v>2</v>
      </c>
      <c r="F466" s="148" t="s">
        <v>96</v>
      </c>
      <c r="H466" s="149">
        <f>SUM(H465:H465)</f>
        <v>23938.68</v>
      </c>
      <c r="O466" s="1"/>
    </row>
    <row r="467" spans="2:16" s="1" customFormat="1" ht="28.15" customHeight="1">
      <c r="B467" s="39"/>
      <c r="C467" s="135">
        <f>C464+1</f>
        <v>85</v>
      </c>
      <c r="D467" s="135" t="s">
        <v>65</v>
      </c>
      <c r="E467" s="136" t="s">
        <v>190</v>
      </c>
      <c r="F467" s="137" t="s">
        <v>191</v>
      </c>
      <c r="G467" s="138" t="s">
        <v>105</v>
      </c>
      <c r="H467" s="139">
        <f>H472</f>
        <v>398.97750000000002</v>
      </c>
      <c r="I467" s="90"/>
      <c r="J467" s="140">
        <f>ROUND(I467*H467,2)</f>
        <v>0</v>
      </c>
      <c r="K467" s="137"/>
      <c r="P467" s="1">
        <f>H467*0.075</f>
        <v>29.923312500000002</v>
      </c>
    </row>
    <row r="468" spans="2:16" s="11" customFormat="1" ht="27">
      <c r="B468" s="141"/>
      <c r="D468" s="142" t="s">
        <v>95</v>
      </c>
      <c r="E468" s="143" t="s">
        <v>2</v>
      </c>
      <c r="F468" s="144" t="s">
        <v>2486</v>
      </c>
      <c r="H468" s="145">
        <f>(2.325+1.3+2.955+1.3+1.3+2.325+1.3)*(13+0.5)+(2.245+1.3+2.325+1.3)*(4)</f>
        <v>201.54750000000001</v>
      </c>
      <c r="O468" s="1"/>
    </row>
    <row r="469" spans="2:16" s="11" customFormat="1" ht="27">
      <c r="B469" s="141"/>
      <c r="D469" s="142" t="s">
        <v>95</v>
      </c>
      <c r="E469" s="143" t="s">
        <v>2</v>
      </c>
      <c r="F469" s="144" t="s">
        <v>1021</v>
      </c>
      <c r="H469" s="145">
        <f>(2.28-0.25+2.025-0.25-0.25+2.28-0.25+2.025-0.25-0.25)*(12.5+0.5)</f>
        <v>92.429999999999993</v>
      </c>
      <c r="O469" s="1"/>
    </row>
    <row r="470" spans="2:16" s="11" customFormat="1">
      <c r="B470" s="141"/>
      <c r="D470" s="142" t="s">
        <v>95</v>
      </c>
      <c r="E470" s="143" t="s">
        <v>2</v>
      </c>
      <c r="F470" s="144" t="s">
        <v>1022</v>
      </c>
      <c r="H470" s="145">
        <f>(2.5)*(12+0.5)*2</f>
        <v>62.5</v>
      </c>
      <c r="O470" s="1"/>
    </row>
    <row r="471" spans="2:16" s="11" customFormat="1" ht="27">
      <c r="B471" s="141"/>
      <c r="D471" s="142" t="s">
        <v>95</v>
      </c>
      <c r="E471" s="143"/>
      <c r="F471" s="144" t="s">
        <v>1023</v>
      </c>
      <c r="H471" s="145">
        <f>(2.5)*(8+0.5)*2</f>
        <v>42.5</v>
      </c>
      <c r="O471" s="1"/>
    </row>
    <row r="472" spans="2:16" s="12" customFormat="1">
      <c r="B472" s="146"/>
      <c r="D472" s="142" t="s">
        <v>95</v>
      </c>
      <c r="E472" s="147" t="s">
        <v>2</v>
      </c>
      <c r="F472" s="148" t="s">
        <v>96</v>
      </c>
      <c r="H472" s="149">
        <f>SUM(H468:H471)</f>
        <v>398.97750000000002</v>
      </c>
      <c r="O472" s="1"/>
    </row>
    <row r="473" spans="2:16" s="1" customFormat="1" ht="28.15" customHeight="1">
      <c r="B473" s="39"/>
      <c r="C473" s="135">
        <f>C467+1</f>
        <v>86</v>
      </c>
      <c r="D473" s="135" t="s">
        <v>65</v>
      </c>
      <c r="E473" s="136" t="s">
        <v>1569</v>
      </c>
      <c r="F473" s="137" t="s">
        <v>1568</v>
      </c>
      <c r="G473" s="138" t="s">
        <v>105</v>
      </c>
      <c r="H473" s="139">
        <f>H475</f>
        <v>398.97800000000001</v>
      </c>
      <c r="I473" s="90"/>
      <c r="J473" s="140">
        <f>ROUND(I473*H473,2)</f>
        <v>0</v>
      </c>
      <c r="K473" s="137"/>
      <c r="P473" s="1">
        <f>H473*0.0005</f>
        <v>0.199489</v>
      </c>
    </row>
    <row r="474" spans="2:16" s="11" customFormat="1">
      <c r="B474" s="141"/>
      <c r="D474" s="142" t="s">
        <v>95</v>
      </c>
      <c r="E474" s="143" t="s">
        <v>2</v>
      </c>
      <c r="F474" s="144" t="s">
        <v>2488</v>
      </c>
      <c r="H474" s="145">
        <f>398.978</f>
        <v>398.97800000000001</v>
      </c>
      <c r="O474" s="1"/>
    </row>
    <row r="475" spans="2:16" s="12" customFormat="1">
      <c r="B475" s="146"/>
      <c r="D475" s="142" t="s">
        <v>95</v>
      </c>
      <c r="E475" s="147" t="s">
        <v>2</v>
      </c>
      <c r="F475" s="148" t="s">
        <v>96</v>
      </c>
      <c r="H475" s="149">
        <f>SUM(H474:H474)</f>
        <v>398.97800000000001</v>
      </c>
      <c r="O475" s="1"/>
    </row>
    <row r="476" spans="2:16" s="1" customFormat="1" ht="28.15" customHeight="1">
      <c r="B476" s="39"/>
      <c r="C476" s="135">
        <f>C473+1</f>
        <v>87</v>
      </c>
      <c r="D476" s="135" t="s">
        <v>65</v>
      </c>
      <c r="E476" s="136" t="s">
        <v>1570</v>
      </c>
      <c r="F476" s="137" t="s">
        <v>1571</v>
      </c>
      <c r="G476" s="138" t="s">
        <v>105</v>
      </c>
      <c r="H476" s="139">
        <f>H478</f>
        <v>398.97800000000001</v>
      </c>
      <c r="I476" s="90"/>
      <c r="J476" s="140">
        <f>ROUND(I476*H476,2)</f>
        <v>0</v>
      </c>
      <c r="K476" s="137"/>
      <c r="P476" s="1">
        <f>H476*0.0005</f>
        <v>0.199489</v>
      </c>
    </row>
    <row r="477" spans="2:16" s="11" customFormat="1">
      <c r="B477" s="141"/>
      <c r="D477" s="142" t="s">
        <v>95</v>
      </c>
      <c r="E477" s="143" t="s">
        <v>2</v>
      </c>
      <c r="F477" s="144" t="s">
        <v>2488</v>
      </c>
      <c r="H477" s="145">
        <f>398.978</f>
        <v>398.97800000000001</v>
      </c>
      <c r="O477" s="1"/>
    </row>
    <row r="478" spans="2:16" s="12" customFormat="1">
      <c r="B478" s="146"/>
      <c r="D478" s="142" t="s">
        <v>95</v>
      </c>
      <c r="E478" s="147" t="s">
        <v>2</v>
      </c>
      <c r="F478" s="148" t="s">
        <v>96</v>
      </c>
      <c r="H478" s="149">
        <f>SUM(H477:H477)</f>
        <v>398.97800000000001</v>
      </c>
      <c r="O478" s="1"/>
    </row>
    <row r="479" spans="2:16" s="1" customFormat="1" ht="28.9" customHeight="1">
      <c r="B479" s="39"/>
      <c r="C479" s="135">
        <f>C476+1</f>
        <v>88</v>
      </c>
      <c r="D479" s="135" t="s">
        <v>65</v>
      </c>
      <c r="E479" s="136" t="s">
        <v>192</v>
      </c>
      <c r="F479" s="137" t="s">
        <v>193</v>
      </c>
      <c r="G479" s="138" t="s">
        <v>105</v>
      </c>
      <c r="H479" s="139">
        <f>H481</f>
        <v>18.468</v>
      </c>
      <c r="I479" s="90"/>
      <c r="J479" s="140">
        <f>ROUND(I479*H479,2)</f>
        <v>0</v>
      </c>
      <c r="K479" s="137"/>
      <c r="P479" s="1">
        <f>H479*0.045</f>
        <v>0.83106000000000002</v>
      </c>
    </row>
    <row r="480" spans="2:16" s="11" customFormat="1">
      <c r="B480" s="141"/>
      <c r="D480" s="142" t="s">
        <v>95</v>
      </c>
      <c r="E480" s="143" t="s">
        <v>2</v>
      </c>
      <c r="F480" s="144" t="s">
        <v>1024</v>
      </c>
      <c r="H480" s="145">
        <f>4.617*4</f>
        <v>18.468</v>
      </c>
      <c r="O480" s="1"/>
    </row>
    <row r="481" spans="2:16" s="12" customFormat="1">
      <c r="B481" s="146"/>
      <c r="D481" s="142" t="s">
        <v>95</v>
      </c>
      <c r="E481" s="147" t="s">
        <v>2</v>
      </c>
      <c r="F481" s="148" t="s">
        <v>96</v>
      </c>
      <c r="H481" s="149">
        <f>SUM(H480:H480)</f>
        <v>18.468</v>
      </c>
      <c r="O481" s="1"/>
    </row>
    <row r="482" spans="2:16" s="1" customFormat="1" ht="28.15" customHeight="1">
      <c r="B482" s="39"/>
      <c r="C482" s="135">
        <f>C479+1</f>
        <v>89</v>
      </c>
      <c r="D482" s="135" t="s">
        <v>65</v>
      </c>
      <c r="E482" s="136" t="s">
        <v>194</v>
      </c>
      <c r="F482" s="137" t="s">
        <v>195</v>
      </c>
      <c r="G482" s="138" t="s">
        <v>105</v>
      </c>
      <c r="H482" s="139">
        <f>H484</f>
        <v>12.222</v>
      </c>
      <c r="I482" s="90"/>
      <c r="J482" s="140">
        <f>ROUND(I482*H482,2)</f>
        <v>0</v>
      </c>
      <c r="K482" s="137"/>
      <c r="P482" s="1">
        <f>H482*0.055</f>
        <v>0.67220999999999997</v>
      </c>
    </row>
    <row r="483" spans="2:16" s="11" customFormat="1">
      <c r="B483" s="141"/>
      <c r="D483" s="142" t="s">
        <v>95</v>
      </c>
      <c r="E483" s="143" t="s">
        <v>2</v>
      </c>
      <c r="F483" s="144" t="s">
        <v>1025</v>
      </c>
      <c r="H483" s="145">
        <f>4.074*3</f>
        <v>12.222</v>
      </c>
      <c r="O483" s="1"/>
    </row>
    <row r="484" spans="2:16" s="12" customFormat="1">
      <c r="B484" s="146"/>
      <c r="D484" s="142" t="s">
        <v>95</v>
      </c>
      <c r="E484" s="147" t="s">
        <v>2</v>
      </c>
      <c r="F484" s="148" t="s">
        <v>96</v>
      </c>
      <c r="H484" s="149">
        <f>SUM(H483:H483)</f>
        <v>12.222</v>
      </c>
      <c r="O484" s="1"/>
    </row>
    <row r="485" spans="2:16" s="1" customFormat="1" ht="22.5" customHeight="1">
      <c r="B485" s="39"/>
      <c r="C485" s="135">
        <f>C482+1</f>
        <v>90</v>
      </c>
      <c r="D485" s="135" t="s">
        <v>65</v>
      </c>
      <c r="E485" s="136" t="s">
        <v>1504</v>
      </c>
      <c r="F485" s="137" t="s">
        <v>1507</v>
      </c>
      <c r="G485" s="138" t="s">
        <v>105</v>
      </c>
      <c r="H485" s="139">
        <f>H490</f>
        <v>90</v>
      </c>
      <c r="I485" s="90"/>
      <c r="J485" s="140">
        <f>ROUND(I485*H485,2)</f>
        <v>0</v>
      </c>
      <c r="K485" s="137"/>
      <c r="P485" s="1">
        <f>H485*0.00125</f>
        <v>0.1125</v>
      </c>
    </row>
    <row r="486" spans="2:16" s="11" customFormat="1">
      <c r="B486" s="141"/>
      <c r="D486" s="142" t="s">
        <v>95</v>
      </c>
      <c r="E486" s="143" t="s">
        <v>2</v>
      </c>
      <c r="F486" s="144" t="s">
        <v>1505</v>
      </c>
      <c r="H486" s="145">
        <f>(6+4+2)*1</f>
        <v>12</v>
      </c>
      <c r="O486" s="1"/>
    </row>
    <row r="487" spans="2:16" s="11" customFormat="1">
      <c r="B487" s="141"/>
      <c r="D487" s="142" t="s">
        <v>95</v>
      </c>
      <c r="E487" s="143" t="s">
        <v>2</v>
      </c>
      <c r="F487" s="144" t="s">
        <v>1506</v>
      </c>
      <c r="H487" s="145">
        <f>(4+4+3+2+2)*1</f>
        <v>15</v>
      </c>
      <c r="O487" s="1"/>
    </row>
    <row r="488" spans="2:16" s="11" customFormat="1">
      <c r="B488" s="141"/>
      <c r="D488" s="142" t="s">
        <v>95</v>
      </c>
      <c r="E488" s="143" t="s">
        <v>2</v>
      </c>
      <c r="F488" s="144" t="s">
        <v>1508</v>
      </c>
      <c r="H488" s="145">
        <f>(4+4+2+3+2)*1</f>
        <v>15</v>
      </c>
      <c r="O488" s="1"/>
    </row>
    <row r="489" spans="2:16" s="11" customFormat="1">
      <c r="B489" s="141"/>
      <c r="D489" s="142" t="s">
        <v>95</v>
      </c>
      <c r="E489" s="143" t="s">
        <v>2</v>
      </c>
      <c r="F489" s="144" t="s">
        <v>1509</v>
      </c>
      <c r="H489" s="145">
        <f>(4*12)*1</f>
        <v>48</v>
      </c>
      <c r="O489" s="1"/>
    </row>
    <row r="490" spans="2:16" s="12" customFormat="1">
      <c r="B490" s="146"/>
      <c r="D490" s="142" t="s">
        <v>95</v>
      </c>
      <c r="E490" s="147" t="s">
        <v>2</v>
      </c>
      <c r="F490" s="148" t="s">
        <v>96</v>
      </c>
      <c r="H490" s="149">
        <f>SUM(H486:H489)</f>
        <v>90</v>
      </c>
      <c r="O490" s="1"/>
    </row>
    <row r="491" spans="2:16" s="1" customFormat="1" ht="22.5" customHeight="1">
      <c r="B491" s="39"/>
      <c r="C491" s="135">
        <f>C485+1</f>
        <v>91</v>
      </c>
      <c r="D491" s="135" t="s">
        <v>65</v>
      </c>
      <c r="E491" s="136" t="s">
        <v>196</v>
      </c>
      <c r="F491" s="137" t="s">
        <v>197</v>
      </c>
      <c r="G491" s="138" t="s">
        <v>105</v>
      </c>
      <c r="H491" s="139">
        <f>H493</f>
        <v>60</v>
      </c>
      <c r="I491" s="90"/>
      <c r="J491" s="140">
        <f>ROUND(I491*H491,2)</f>
        <v>0</v>
      </c>
      <c r="K491" s="137"/>
      <c r="P491" s="1">
        <f>H491*0.005</f>
        <v>0.3</v>
      </c>
    </row>
    <row r="492" spans="2:16" s="11" customFormat="1">
      <c r="B492" s="141"/>
      <c r="D492" s="142" t="s">
        <v>95</v>
      </c>
      <c r="E492" s="143" t="s">
        <v>2</v>
      </c>
      <c r="F492" s="144" t="s">
        <v>1026</v>
      </c>
      <c r="H492" s="145">
        <f>(6*10)*1</f>
        <v>60</v>
      </c>
      <c r="O492" s="1"/>
    </row>
    <row r="493" spans="2:16" s="12" customFormat="1">
      <c r="B493" s="146"/>
      <c r="D493" s="142" t="s">
        <v>95</v>
      </c>
      <c r="E493" s="147" t="s">
        <v>2</v>
      </c>
      <c r="F493" s="148" t="s">
        <v>96</v>
      </c>
      <c r="H493" s="149">
        <f>SUM(H492:H492)</f>
        <v>60</v>
      </c>
      <c r="O493" s="1"/>
    </row>
    <row r="494" spans="2:16" s="1" customFormat="1" ht="22.5" customHeight="1">
      <c r="B494" s="39"/>
      <c r="C494" s="135">
        <f>C491+1</f>
        <v>92</v>
      </c>
      <c r="D494" s="135" t="s">
        <v>65</v>
      </c>
      <c r="E494" s="136" t="s">
        <v>198</v>
      </c>
      <c r="F494" s="137" t="s">
        <v>199</v>
      </c>
      <c r="G494" s="138" t="s">
        <v>105</v>
      </c>
      <c r="H494" s="139">
        <f>H496</f>
        <v>120</v>
      </c>
      <c r="I494" s="90"/>
      <c r="J494" s="140">
        <f>ROUND(I494*H494,2)</f>
        <v>0</v>
      </c>
      <c r="K494" s="137"/>
      <c r="P494" s="1">
        <f>H494*0.003</f>
        <v>0.36</v>
      </c>
    </row>
    <row r="495" spans="2:16" s="11" customFormat="1">
      <c r="B495" s="141"/>
      <c r="D495" s="142" t="s">
        <v>95</v>
      </c>
      <c r="E495" s="143" t="s">
        <v>2</v>
      </c>
      <c r="F495" s="144" t="s">
        <v>1027</v>
      </c>
      <c r="H495" s="145">
        <f>(6*10)*2</f>
        <v>120</v>
      </c>
      <c r="O495" s="1"/>
    </row>
    <row r="496" spans="2:16" s="12" customFormat="1">
      <c r="B496" s="146"/>
      <c r="D496" s="142" t="s">
        <v>95</v>
      </c>
      <c r="E496" s="147" t="s">
        <v>2</v>
      </c>
      <c r="F496" s="148" t="s">
        <v>96</v>
      </c>
      <c r="H496" s="149">
        <f>SUM(H495:H495)</f>
        <v>120</v>
      </c>
      <c r="O496" s="1"/>
    </row>
    <row r="497" spans="2:16" s="1" customFormat="1" ht="22.5" customHeight="1">
      <c r="B497" s="39"/>
      <c r="C497" s="135">
        <f>C494+1</f>
        <v>93</v>
      </c>
      <c r="D497" s="135" t="s">
        <v>65</v>
      </c>
      <c r="E497" s="136" t="s">
        <v>200</v>
      </c>
      <c r="F497" s="137" t="s">
        <v>201</v>
      </c>
      <c r="G497" s="138" t="s">
        <v>155</v>
      </c>
      <c r="H497" s="139">
        <f>H499</f>
        <v>34.880000000000003</v>
      </c>
      <c r="I497" s="90"/>
      <c r="J497" s="140">
        <f>ROUND(I497*H497,2)</f>
        <v>0</v>
      </c>
      <c r="K497" s="137"/>
      <c r="P497" s="1">
        <f>H497*0.001</f>
        <v>3.4880000000000001E-2</v>
      </c>
    </row>
    <row r="498" spans="2:16" s="11" customFormat="1">
      <c r="B498" s="141"/>
      <c r="D498" s="142" t="s">
        <v>95</v>
      </c>
      <c r="E498" s="143" t="s">
        <v>2</v>
      </c>
      <c r="F498" s="144" t="s">
        <v>1028</v>
      </c>
      <c r="H498" s="145">
        <f>(2.18*4)*4</f>
        <v>34.880000000000003</v>
      </c>
      <c r="O498" s="1"/>
    </row>
    <row r="499" spans="2:16" s="12" customFormat="1">
      <c r="B499" s="146"/>
      <c r="D499" s="142" t="s">
        <v>95</v>
      </c>
      <c r="E499" s="147" t="s">
        <v>2</v>
      </c>
      <c r="F499" s="148" t="s">
        <v>96</v>
      </c>
      <c r="H499" s="149">
        <f>SUM(H498:H498)</f>
        <v>34.880000000000003</v>
      </c>
      <c r="O499" s="1"/>
    </row>
    <row r="500" spans="2:16" s="1" customFormat="1" ht="22.5" customHeight="1">
      <c r="B500" s="39"/>
      <c r="C500" s="135">
        <f>C497+1</f>
        <v>94</v>
      </c>
      <c r="D500" s="304" t="s">
        <v>65</v>
      </c>
      <c r="E500" s="305" t="s">
        <v>1029</v>
      </c>
      <c r="F500" s="306" t="s">
        <v>1030</v>
      </c>
      <c r="G500" s="307" t="s">
        <v>105</v>
      </c>
      <c r="H500" s="139">
        <f>H503</f>
        <v>17.411999999999999</v>
      </c>
      <c r="I500" s="90"/>
      <c r="J500" s="140">
        <f>ROUND(I500*H500,2)</f>
        <v>0</v>
      </c>
      <c r="K500" s="137"/>
      <c r="O500" s="1">
        <f>H500*0.05*1.85</f>
        <v>1.6106100000000001</v>
      </c>
    </row>
    <row r="501" spans="2:16" s="11" customFormat="1" ht="27">
      <c r="B501" s="141"/>
      <c r="D501" s="142" t="s">
        <v>95</v>
      </c>
      <c r="E501" s="143" t="s">
        <v>2</v>
      </c>
      <c r="F501" s="144" t="s">
        <v>2489</v>
      </c>
      <c r="H501" s="145">
        <f>(2.18+1.14+2.18+1.14)*0.6*2+(2.18+1.14+0.35+2.18+1.14+0.35)*0.6*1</f>
        <v>12.372</v>
      </c>
      <c r="O501" s="1"/>
    </row>
    <row r="502" spans="2:16" s="11" customFormat="1">
      <c r="B502" s="141"/>
      <c r="D502" s="142" t="s">
        <v>95</v>
      </c>
      <c r="E502" s="143" t="s">
        <v>2</v>
      </c>
      <c r="F502" s="144" t="s">
        <v>1031</v>
      </c>
      <c r="H502" s="145">
        <f>(1.4+0.7+1.4+0.7)*0.6*2</f>
        <v>5.0399999999999991</v>
      </c>
      <c r="O502" s="1"/>
    </row>
    <row r="503" spans="2:16" s="12" customFormat="1">
      <c r="B503" s="146"/>
      <c r="D503" s="142" t="s">
        <v>95</v>
      </c>
      <c r="E503" s="147" t="s">
        <v>2</v>
      </c>
      <c r="F503" s="148" t="s">
        <v>96</v>
      </c>
      <c r="H503" s="149">
        <f>SUM(H501:H502)</f>
        <v>17.411999999999999</v>
      </c>
      <c r="O503" s="1"/>
    </row>
    <row r="504" spans="2:16" s="1" customFormat="1" ht="22.5" customHeight="1">
      <c r="B504" s="39"/>
      <c r="C504" s="135">
        <f>C500+1</f>
        <v>95</v>
      </c>
      <c r="D504" s="304" t="s">
        <v>65</v>
      </c>
      <c r="E504" s="305" t="s">
        <v>1336</v>
      </c>
      <c r="F504" s="306" t="s">
        <v>1337</v>
      </c>
      <c r="G504" s="307" t="s">
        <v>265</v>
      </c>
      <c r="H504" s="139">
        <f>H506</f>
        <v>1</v>
      </c>
      <c r="I504" s="90"/>
      <c r="J504" s="140">
        <f>ROUND(I504*H504,2)</f>
        <v>0</v>
      </c>
      <c r="K504" s="137"/>
      <c r="O504" s="1">
        <f>H504*0.061</f>
        <v>6.0999999999999999E-2</v>
      </c>
    </row>
    <row r="505" spans="2:16" s="11" customFormat="1">
      <c r="B505" s="141"/>
      <c r="D505" s="142" t="s">
        <v>95</v>
      </c>
      <c r="E505" s="143" t="s">
        <v>2</v>
      </c>
      <c r="F505" s="144" t="s">
        <v>1334</v>
      </c>
      <c r="H505" s="145">
        <v>1</v>
      </c>
      <c r="O505" s="1"/>
    </row>
    <row r="506" spans="2:16" s="12" customFormat="1">
      <c r="B506" s="146"/>
      <c r="D506" s="142" t="s">
        <v>95</v>
      </c>
      <c r="E506" s="147" t="s">
        <v>2</v>
      </c>
      <c r="F506" s="148" t="s">
        <v>96</v>
      </c>
      <c r="H506" s="149">
        <f>SUM(H505:H505)</f>
        <v>1</v>
      </c>
      <c r="O506" s="1"/>
    </row>
    <row r="507" spans="2:16" s="1" customFormat="1" ht="22.5" customHeight="1">
      <c r="B507" s="39"/>
      <c r="C507" s="135">
        <f>C504+1</f>
        <v>96</v>
      </c>
      <c r="D507" s="304" t="s">
        <v>65</v>
      </c>
      <c r="E507" s="305" t="s">
        <v>1032</v>
      </c>
      <c r="F507" s="306" t="s">
        <v>1033</v>
      </c>
      <c r="G507" s="307" t="s">
        <v>265</v>
      </c>
      <c r="H507" s="139">
        <f>H509</f>
        <v>3</v>
      </c>
      <c r="I507" s="90"/>
      <c r="J507" s="140">
        <f>ROUND(I507*H507,2)</f>
        <v>0</v>
      </c>
      <c r="K507" s="137"/>
      <c r="O507" s="1">
        <f>H507*0.034</f>
        <v>0.10200000000000001</v>
      </c>
    </row>
    <row r="508" spans="2:16" s="11" customFormat="1">
      <c r="B508" s="141"/>
      <c r="D508" s="142" t="s">
        <v>95</v>
      </c>
      <c r="E508" s="143" t="s">
        <v>2</v>
      </c>
      <c r="F508" s="144" t="s">
        <v>1040</v>
      </c>
      <c r="H508" s="145">
        <f>(1)*3</f>
        <v>3</v>
      </c>
      <c r="O508" s="1"/>
    </row>
    <row r="509" spans="2:16" s="12" customFormat="1">
      <c r="B509" s="146"/>
      <c r="D509" s="142" t="s">
        <v>95</v>
      </c>
      <c r="E509" s="147" t="s">
        <v>2</v>
      </c>
      <c r="F509" s="148" t="s">
        <v>96</v>
      </c>
      <c r="H509" s="149">
        <f>SUM(H508:H508)</f>
        <v>3</v>
      </c>
      <c r="O509" s="1"/>
    </row>
    <row r="510" spans="2:16" s="1" customFormat="1" ht="22.5" customHeight="1">
      <c r="B510" s="39"/>
      <c r="C510" s="135">
        <f>C507+1</f>
        <v>97</v>
      </c>
      <c r="D510" s="304" t="s">
        <v>65</v>
      </c>
      <c r="E510" s="305" t="s">
        <v>1036</v>
      </c>
      <c r="F510" s="306" t="s">
        <v>1037</v>
      </c>
      <c r="G510" s="307" t="s">
        <v>155</v>
      </c>
      <c r="H510" s="139">
        <f>H512</f>
        <v>3.3000000000000003</v>
      </c>
      <c r="I510" s="90"/>
      <c r="J510" s="140">
        <f>ROUND(I510*H510,2)</f>
        <v>0</v>
      </c>
      <c r="K510" s="137"/>
      <c r="O510" s="1">
        <f>H510*0.33*0.01</f>
        <v>1.0890000000000002E-2</v>
      </c>
    </row>
    <row r="511" spans="2:16" s="11" customFormat="1">
      <c r="B511" s="141"/>
      <c r="D511" s="142" t="s">
        <v>95</v>
      </c>
      <c r="E511" s="143" t="s">
        <v>2</v>
      </c>
      <c r="F511" s="144" t="s">
        <v>1038</v>
      </c>
      <c r="H511" s="145">
        <f>(1.1)*3</f>
        <v>3.3000000000000003</v>
      </c>
      <c r="O511" s="1"/>
    </row>
    <row r="512" spans="2:16" s="12" customFormat="1">
      <c r="B512" s="146"/>
      <c r="D512" s="142" t="s">
        <v>95</v>
      </c>
      <c r="E512" s="147" t="s">
        <v>2</v>
      </c>
      <c r="F512" s="148" t="s">
        <v>96</v>
      </c>
      <c r="H512" s="149">
        <f>SUM(H511:H511)</f>
        <v>3.3000000000000003</v>
      </c>
      <c r="O512" s="1"/>
    </row>
    <row r="513" spans="2:15" s="1" customFormat="1" ht="22.5" customHeight="1">
      <c r="B513" s="39"/>
      <c r="C513" s="135">
        <f>C510+1</f>
        <v>98</v>
      </c>
      <c r="D513" s="304" t="s">
        <v>65</v>
      </c>
      <c r="E513" s="305" t="s">
        <v>1050</v>
      </c>
      <c r="F513" s="306" t="s">
        <v>1049</v>
      </c>
      <c r="G513" s="307" t="s">
        <v>155</v>
      </c>
      <c r="H513" s="139">
        <f>H515</f>
        <v>3.3000000000000003</v>
      </c>
      <c r="I513" s="90"/>
      <c r="J513" s="140">
        <f>ROUND(I513*H513,2)</f>
        <v>0</v>
      </c>
      <c r="K513" s="137"/>
      <c r="O513" s="1">
        <f>H513*0.5*0.02*0.89</f>
        <v>2.937E-2</v>
      </c>
    </row>
    <row r="514" spans="2:15" s="11" customFormat="1">
      <c r="B514" s="141"/>
      <c r="D514" s="142" t="s">
        <v>95</v>
      </c>
      <c r="E514" s="143" t="s">
        <v>2</v>
      </c>
      <c r="F514" s="144" t="s">
        <v>1038</v>
      </c>
      <c r="H514" s="145">
        <f>(1.1)*3</f>
        <v>3.3000000000000003</v>
      </c>
      <c r="O514" s="1"/>
    </row>
    <row r="515" spans="2:15" s="12" customFormat="1">
      <c r="B515" s="146"/>
      <c r="D515" s="142" t="s">
        <v>95</v>
      </c>
      <c r="E515" s="147" t="s">
        <v>2</v>
      </c>
      <c r="F515" s="148" t="s">
        <v>96</v>
      </c>
      <c r="H515" s="149">
        <f>SUM(H514:H514)</f>
        <v>3.3000000000000003</v>
      </c>
      <c r="O515" s="1"/>
    </row>
    <row r="516" spans="2:15" s="1" customFormat="1" ht="22.5" customHeight="1">
      <c r="B516" s="39"/>
      <c r="C516" s="135">
        <f>C513+1</f>
        <v>99</v>
      </c>
      <c r="D516" s="304" t="s">
        <v>65</v>
      </c>
      <c r="E516" s="305" t="s">
        <v>1039</v>
      </c>
      <c r="F516" s="306" t="s">
        <v>1335</v>
      </c>
      <c r="G516" s="307" t="s">
        <v>105</v>
      </c>
      <c r="H516" s="139">
        <f>H519</f>
        <v>5.3900000000000006</v>
      </c>
      <c r="I516" s="90"/>
      <c r="J516" s="140">
        <f>ROUND(I516*H516,2)</f>
        <v>0</v>
      </c>
      <c r="K516" s="137"/>
      <c r="O516" s="1">
        <f>H516*0.058</f>
        <v>0.31262000000000006</v>
      </c>
    </row>
    <row r="517" spans="2:15" s="11" customFormat="1">
      <c r="B517" s="141"/>
      <c r="D517" s="142" t="s">
        <v>95</v>
      </c>
      <c r="E517" s="143" t="s">
        <v>2</v>
      </c>
      <c r="F517" s="144" t="s">
        <v>1034</v>
      </c>
      <c r="H517" s="145">
        <f>(1.1*0.7)*1</f>
        <v>0.77</v>
      </c>
      <c r="O517" s="1"/>
    </row>
    <row r="518" spans="2:15" s="11" customFormat="1">
      <c r="B518" s="141"/>
      <c r="D518" s="142" t="s">
        <v>95</v>
      </c>
      <c r="E518" s="143" t="s">
        <v>2</v>
      </c>
      <c r="F518" s="144" t="s">
        <v>1035</v>
      </c>
      <c r="H518" s="145">
        <f>(1.1*2.1)*2</f>
        <v>4.620000000000001</v>
      </c>
      <c r="O518" s="1"/>
    </row>
    <row r="519" spans="2:15" s="12" customFormat="1">
      <c r="B519" s="146"/>
      <c r="D519" s="142" t="s">
        <v>95</v>
      </c>
      <c r="E519" s="147" t="s">
        <v>2</v>
      </c>
      <c r="F519" s="148" t="s">
        <v>96</v>
      </c>
      <c r="H519" s="149">
        <f>SUM(H517:H518)</f>
        <v>5.3900000000000006</v>
      </c>
      <c r="O519" s="1"/>
    </row>
    <row r="520" spans="2:15" s="12" customFormat="1" ht="28.9" customHeight="1">
      <c r="B520" s="146"/>
      <c r="C520" s="135">
        <f>C516+1</f>
        <v>100</v>
      </c>
      <c r="D520" s="304" t="s">
        <v>65</v>
      </c>
      <c r="E520" s="305" t="s">
        <v>1618</v>
      </c>
      <c r="F520" s="306" t="s">
        <v>1619</v>
      </c>
      <c r="G520" s="307" t="s">
        <v>94</v>
      </c>
      <c r="H520" s="139">
        <f>H524</f>
        <v>5.9328599999999989</v>
      </c>
      <c r="I520" s="90"/>
      <c r="J520" s="140">
        <f>ROUND(I520*H520,2)</f>
        <v>0</v>
      </c>
      <c r="K520" s="137"/>
      <c r="O520" s="1">
        <f>H520*1.873</f>
        <v>11.112246779999998</v>
      </c>
    </row>
    <row r="521" spans="2:15" s="11" customFormat="1">
      <c r="B521" s="141"/>
      <c r="D521" s="142" t="s">
        <v>95</v>
      </c>
      <c r="E521" s="143" t="s">
        <v>2</v>
      </c>
      <c r="F521" s="144" t="s">
        <v>1628</v>
      </c>
      <c r="H521" s="145">
        <f>(1.14*2.18*0.7)</f>
        <v>1.7396399999999999</v>
      </c>
      <c r="O521" s="1"/>
    </row>
    <row r="522" spans="2:15" s="11" customFormat="1">
      <c r="B522" s="141"/>
      <c r="D522" s="142" t="s">
        <v>95</v>
      </c>
      <c r="E522" s="143" t="s">
        <v>2</v>
      </c>
      <c r="F522" s="144" t="s">
        <v>1629</v>
      </c>
      <c r="H522" s="145">
        <f>(1.14*2.18*0.6)+(0.7*1.4*0.6)</f>
        <v>2.0791199999999996</v>
      </c>
      <c r="O522" s="1"/>
    </row>
    <row r="523" spans="2:15" s="11" customFormat="1" ht="27">
      <c r="B523" s="141"/>
      <c r="D523" s="142" t="s">
        <v>95</v>
      </c>
      <c r="E523" s="143" t="s">
        <v>2</v>
      </c>
      <c r="F523" s="144" t="s">
        <v>2490</v>
      </c>
      <c r="H523" s="145">
        <f>((1.14+0.35)*2.18*0.5)+(0.7*1.4*0.5)</f>
        <v>2.1140999999999996</v>
      </c>
      <c r="O523" s="1"/>
    </row>
    <row r="524" spans="2:15" s="12" customFormat="1">
      <c r="B524" s="146"/>
      <c r="D524" s="142" t="s">
        <v>95</v>
      </c>
      <c r="E524" s="147" t="s">
        <v>2</v>
      </c>
      <c r="F524" s="148" t="s">
        <v>96</v>
      </c>
      <c r="H524" s="149">
        <f>SUM(H521:H523)</f>
        <v>5.9328599999999989</v>
      </c>
      <c r="O524" s="1"/>
    </row>
    <row r="525" spans="2:15" s="12" customFormat="1" ht="28.9" customHeight="1">
      <c r="B525" s="146"/>
      <c r="C525" s="135">
        <f>C520+1</f>
        <v>101</v>
      </c>
      <c r="D525" s="304" t="s">
        <v>65</v>
      </c>
      <c r="E525" s="305" t="s">
        <v>1041</v>
      </c>
      <c r="F525" s="306" t="s">
        <v>1042</v>
      </c>
      <c r="G525" s="307" t="s">
        <v>155</v>
      </c>
      <c r="H525" s="139">
        <f>H528</f>
        <v>19.86</v>
      </c>
      <c r="I525" s="90"/>
      <c r="J525" s="140">
        <f>ROUND(I525*H525,2)</f>
        <v>0</v>
      </c>
      <c r="K525" s="137"/>
      <c r="O525" s="1">
        <f>H525*0.15*0.25*1.85</f>
        <v>1.3777874999999999</v>
      </c>
    </row>
    <row r="526" spans="2:15" s="11" customFormat="1">
      <c r="B526" s="141"/>
      <c r="D526" s="142" t="s">
        <v>95</v>
      </c>
      <c r="E526" s="143" t="s">
        <v>2</v>
      </c>
      <c r="F526" s="144" t="s">
        <v>1043</v>
      </c>
      <c r="H526" s="145">
        <f>(1.54*3)*3</f>
        <v>13.86</v>
      </c>
      <c r="O526" s="1"/>
    </row>
    <row r="527" spans="2:15" s="11" customFormat="1">
      <c r="B527" s="141"/>
      <c r="D527" s="142" t="s">
        <v>95</v>
      </c>
      <c r="E527" s="143" t="s">
        <v>2</v>
      </c>
      <c r="F527" s="144" t="s">
        <v>1044</v>
      </c>
      <c r="H527" s="145">
        <f>(1*3)*2</f>
        <v>6</v>
      </c>
      <c r="O527" s="1"/>
    </row>
    <row r="528" spans="2:15" s="12" customFormat="1">
      <c r="B528" s="146"/>
      <c r="D528" s="142" t="s">
        <v>95</v>
      </c>
      <c r="E528" s="147" t="s">
        <v>2</v>
      </c>
      <c r="F528" s="148" t="s">
        <v>96</v>
      </c>
      <c r="H528" s="149">
        <f>SUM(H526:H527)</f>
        <v>19.86</v>
      </c>
      <c r="O528" s="1"/>
    </row>
    <row r="529" spans="2:15" s="12" customFormat="1" ht="28.9" customHeight="1">
      <c r="B529" s="146"/>
      <c r="C529" s="135">
        <f>C525+1</f>
        <v>102</v>
      </c>
      <c r="D529" s="304" t="s">
        <v>65</v>
      </c>
      <c r="E529" s="305" t="s">
        <v>1045</v>
      </c>
      <c r="F529" s="306" t="s">
        <v>1046</v>
      </c>
      <c r="G529" s="307" t="s">
        <v>265</v>
      </c>
      <c r="H529" s="139">
        <f>H535</f>
        <v>65</v>
      </c>
      <c r="I529" s="90"/>
      <c r="J529" s="140">
        <f>ROUND(I529*H529,2)</f>
        <v>0</v>
      </c>
      <c r="K529" s="137"/>
      <c r="O529" s="1">
        <f>H529*0.25*0.25*0.3*1.875</f>
        <v>2.28515625</v>
      </c>
    </row>
    <row r="530" spans="2:15" s="11" customFormat="1">
      <c r="B530" s="141"/>
      <c r="D530" s="142" t="s">
        <v>95</v>
      </c>
      <c r="E530" s="143" t="s">
        <v>2</v>
      </c>
      <c r="F530" s="144" t="s">
        <v>2603</v>
      </c>
      <c r="H530" s="145">
        <f>(2*2)*2</f>
        <v>8</v>
      </c>
      <c r="O530" s="1"/>
    </row>
    <row r="531" spans="2:15" s="11" customFormat="1">
      <c r="B531" s="141"/>
      <c r="D531" s="142" t="s">
        <v>95</v>
      </c>
      <c r="E531" s="143" t="s">
        <v>2</v>
      </c>
      <c r="F531" s="144" t="s">
        <v>1047</v>
      </c>
      <c r="H531" s="145">
        <f>(3*2)*3</f>
        <v>18</v>
      </c>
      <c r="O531" s="1"/>
    </row>
    <row r="532" spans="2:15" s="11" customFormat="1">
      <c r="B532" s="141"/>
      <c r="D532" s="142" t="s">
        <v>95</v>
      </c>
      <c r="E532" s="143" t="s">
        <v>2</v>
      </c>
      <c r="F532" s="144" t="s">
        <v>1048</v>
      </c>
      <c r="H532" s="145">
        <f>(3*2)*2</f>
        <v>12</v>
      </c>
      <c r="O532" s="1"/>
    </row>
    <row r="533" spans="2:15" s="11" customFormat="1">
      <c r="B533" s="141"/>
      <c r="D533" s="142" t="s">
        <v>95</v>
      </c>
      <c r="E533" s="143" t="s">
        <v>2</v>
      </c>
      <c r="F533" s="144" t="s">
        <v>2602</v>
      </c>
      <c r="H533" s="145">
        <f>(2)*4-1</f>
        <v>7</v>
      </c>
      <c r="O533" s="1"/>
    </row>
    <row r="534" spans="2:15" s="11" customFormat="1">
      <c r="B534" s="141"/>
      <c r="D534" s="142" t="s">
        <v>95</v>
      </c>
      <c r="E534" s="143" t="s">
        <v>2</v>
      </c>
      <c r="F534" s="144" t="s">
        <v>1053</v>
      </c>
      <c r="H534" s="145">
        <f>(5*2)*2</f>
        <v>20</v>
      </c>
      <c r="O534" s="1"/>
    </row>
    <row r="535" spans="2:15" s="12" customFormat="1">
      <c r="B535" s="146"/>
      <c r="D535" s="142" t="s">
        <v>95</v>
      </c>
      <c r="E535" s="147" t="s">
        <v>2</v>
      </c>
      <c r="F535" s="148" t="s">
        <v>96</v>
      </c>
      <c r="H535" s="149">
        <f>SUM(H530:H534)</f>
        <v>65</v>
      </c>
      <c r="O535" s="1"/>
    </row>
    <row r="536" spans="2:15" s="12" customFormat="1" ht="28.9" customHeight="1">
      <c r="B536" s="146"/>
      <c r="C536" s="135">
        <f>C529+1</f>
        <v>103</v>
      </c>
      <c r="D536" s="304" t="s">
        <v>65</v>
      </c>
      <c r="E536" s="305" t="s">
        <v>1052</v>
      </c>
      <c r="F536" s="306" t="s">
        <v>1051</v>
      </c>
      <c r="G536" s="307" t="s">
        <v>105</v>
      </c>
      <c r="H536" s="139">
        <f>H541</f>
        <v>94.951000000000008</v>
      </c>
      <c r="I536" s="90"/>
      <c r="J536" s="140">
        <f>ROUND(I536*H536,2)</f>
        <v>0</v>
      </c>
      <c r="K536" s="137"/>
      <c r="O536" s="1">
        <f>H536*0.03*1.864</f>
        <v>5.3096599200000005</v>
      </c>
    </row>
    <row r="537" spans="2:15" s="11" customFormat="1">
      <c r="B537" s="141"/>
      <c r="D537" s="142" t="s">
        <v>95</v>
      </c>
      <c r="E537" s="143" t="s">
        <v>2</v>
      </c>
      <c r="F537" s="144" t="s">
        <v>2491</v>
      </c>
      <c r="H537" s="145">
        <f>(2.955)*(11+1.2)+(2.245)*(3.5+0.5)</f>
        <v>45.031000000000006</v>
      </c>
      <c r="O537" s="1"/>
    </row>
    <row r="538" spans="2:15" s="11" customFormat="1" ht="27">
      <c r="B538" s="141"/>
      <c r="D538" s="142" t="s">
        <v>95</v>
      </c>
      <c r="E538" s="143" t="s">
        <v>2</v>
      </c>
      <c r="F538" s="144" t="s">
        <v>2492</v>
      </c>
      <c r="H538" s="145">
        <f>(2.18+1.14+2.18)*(0.55)*1+(2.18+1.14+2.18)*(0.5)*1+(2.18+1.14+0.35+2.18)*(0.5)*1</f>
        <v>8.7000000000000011</v>
      </c>
      <c r="O538" s="1"/>
    </row>
    <row r="539" spans="2:15" s="11" customFormat="1">
      <c r="B539" s="141"/>
      <c r="D539" s="142" t="s">
        <v>95</v>
      </c>
      <c r="E539" s="143" t="s">
        <v>2</v>
      </c>
      <c r="F539" s="144" t="s">
        <v>2466</v>
      </c>
      <c r="H539" s="145">
        <f>(1.5)*(11+0.5+11+0.5)</f>
        <v>34.5</v>
      </c>
      <c r="O539" s="1"/>
    </row>
    <row r="540" spans="2:15" s="11" customFormat="1" ht="27">
      <c r="B540" s="141"/>
      <c r="D540" s="142" t="s">
        <v>95</v>
      </c>
      <c r="E540" s="143" t="s">
        <v>2</v>
      </c>
      <c r="F540" s="144" t="s">
        <v>1004</v>
      </c>
      <c r="H540" s="145">
        <f>(0.7+1.4+0.7+1.4)*(0.3+0.5)*2</f>
        <v>6.7199999999999989</v>
      </c>
      <c r="O540" s="1"/>
    </row>
    <row r="541" spans="2:15" s="12" customFormat="1">
      <c r="B541" s="146"/>
      <c r="D541" s="142" t="s">
        <v>95</v>
      </c>
      <c r="E541" s="147" t="s">
        <v>2</v>
      </c>
      <c r="F541" s="148" t="s">
        <v>96</v>
      </c>
      <c r="H541" s="149">
        <f>SUM(H537:H540)</f>
        <v>94.951000000000008</v>
      </c>
      <c r="O541" s="1"/>
    </row>
    <row r="542" spans="2:15" s="12" customFormat="1" ht="28.9" customHeight="1">
      <c r="B542" s="146"/>
      <c r="C542" s="135">
        <f>C536+1</f>
        <v>104</v>
      </c>
      <c r="D542" s="304" t="s">
        <v>65</v>
      </c>
      <c r="E542" s="305" t="s">
        <v>1054</v>
      </c>
      <c r="F542" s="306" t="s">
        <v>1055</v>
      </c>
      <c r="G542" s="307" t="s">
        <v>105</v>
      </c>
      <c r="H542" s="139">
        <f>H544</f>
        <v>37.777500000000003</v>
      </c>
      <c r="I542" s="90"/>
      <c r="J542" s="140">
        <f>ROUND(I542*H542,2)</f>
        <v>0</v>
      </c>
      <c r="K542" s="137"/>
      <c r="O542" s="1">
        <f>H542*0.02*1.864</f>
        <v>1.4083452000000001</v>
      </c>
    </row>
    <row r="543" spans="2:15" s="11" customFormat="1">
      <c r="B543" s="141"/>
      <c r="D543" s="142" t="s">
        <v>95</v>
      </c>
      <c r="E543" s="143" t="s">
        <v>2</v>
      </c>
      <c r="F543" s="144" t="s">
        <v>1056</v>
      </c>
      <c r="H543" s="145">
        <f>(3.65*3.45)*3</f>
        <v>37.777500000000003</v>
      </c>
      <c r="O543" s="1"/>
    </row>
    <row r="544" spans="2:15" s="12" customFormat="1">
      <c r="B544" s="146"/>
      <c r="D544" s="142" t="s">
        <v>95</v>
      </c>
      <c r="E544" s="147" t="s">
        <v>2</v>
      </c>
      <c r="F544" s="148" t="s">
        <v>96</v>
      </c>
      <c r="H544" s="149">
        <f>SUM(H543:H543)</f>
        <v>37.777500000000003</v>
      </c>
      <c r="O544" s="1"/>
    </row>
    <row r="545" spans="2:15" s="12" customFormat="1" ht="28.9" customHeight="1">
      <c r="B545" s="146"/>
      <c r="C545" s="135">
        <f>C542+1</f>
        <v>105</v>
      </c>
      <c r="D545" s="304" t="s">
        <v>65</v>
      </c>
      <c r="E545" s="305" t="s">
        <v>1057</v>
      </c>
      <c r="F545" s="306" t="s">
        <v>1058</v>
      </c>
      <c r="G545" s="307" t="s">
        <v>105</v>
      </c>
      <c r="H545" s="139">
        <f>H547</f>
        <v>13.14</v>
      </c>
      <c r="I545" s="90"/>
      <c r="J545" s="140">
        <f>ROUND(I545*H545,2)</f>
        <v>0</v>
      </c>
      <c r="K545" s="137"/>
      <c r="O545" s="1">
        <f>H545*0.025*0.75</f>
        <v>0.24637500000000001</v>
      </c>
    </row>
    <row r="546" spans="2:15" s="11" customFormat="1">
      <c r="B546" s="141"/>
      <c r="D546" s="142" t="s">
        <v>95</v>
      </c>
      <c r="E546" s="143" t="s">
        <v>2</v>
      </c>
      <c r="F546" s="144" t="s">
        <v>1059</v>
      </c>
      <c r="H546" s="145">
        <f>(3.65*1.8)*2</f>
        <v>13.14</v>
      </c>
      <c r="O546" s="1"/>
    </row>
    <row r="547" spans="2:15" s="12" customFormat="1">
      <c r="B547" s="146"/>
      <c r="D547" s="142" t="s">
        <v>95</v>
      </c>
      <c r="E547" s="147" t="s">
        <v>2</v>
      </c>
      <c r="F547" s="148" t="s">
        <v>96</v>
      </c>
      <c r="H547" s="149">
        <f>SUM(H546:H546)</f>
        <v>13.14</v>
      </c>
      <c r="O547" s="1"/>
    </row>
    <row r="548" spans="2:15" s="12" customFormat="1" ht="28.9" customHeight="1">
      <c r="B548" s="146"/>
      <c r="C548" s="135">
        <f>C545+1</f>
        <v>106</v>
      </c>
      <c r="D548" s="304" t="s">
        <v>65</v>
      </c>
      <c r="E548" s="305" t="s">
        <v>1078</v>
      </c>
      <c r="F548" s="306" t="s">
        <v>1079</v>
      </c>
      <c r="G548" s="307" t="s">
        <v>105</v>
      </c>
      <c r="H548" s="139">
        <f>H550</f>
        <v>15.260000000000002</v>
      </c>
      <c r="I548" s="90"/>
      <c r="J548" s="140">
        <f>ROUND(I548*H548,2)</f>
        <v>0</v>
      </c>
      <c r="K548" s="137"/>
      <c r="O548" s="1">
        <f>H548*0.05*1.5</f>
        <v>1.1445000000000003</v>
      </c>
    </row>
    <row r="549" spans="2:15" s="11" customFormat="1">
      <c r="B549" s="141"/>
      <c r="D549" s="142" t="s">
        <v>95</v>
      </c>
      <c r="E549" s="143" t="s">
        <v>2</v>
      </c>
      <c r="F549" s="144" t="s">
        <v>1080</v>
      </c>
      <c r="H549" s="145">
        <f>((5.075+2.555)*1)*2</f>
        <v>15.260000000000002</v>
      </c>
      <c r="O549" s="1"/>
    </row>
    <row r="550" spans="2:15" s="12" customFormat="1">
      <c r="B550" s="146"/>
      <c r="D550" s="142" t="s">
        <v>95</v>
      </c>
      <c r="E550" s="147" t="s">
        <v>2</v>
      </c>
      <c r="F550" s="148" t="s">
        <v>96</v>
      </c>
      <c r="H550" s="149">
        <f>SUM(H549:H549)</f>
        <v>15.260000000000002</v>
      </c>
      <c r="O550" s="1"/>
    </row>
    <row r="551" spans="2:15" s="12" customFormat="1" ht="28.9" customHeight="1">
      <c r="B551" s="146"/>
      <c r="C551" s="135">
        <f>C548+1</f>
        <v>107</v>
      </c>
      <c r="D551" s="304" t="s">
        <v>65</v>
      </c>
      <c r="E551" s="305" t="s">
        <v>1081</v>
      </c>
      <c r="F551" s="306" t="s">
        <v>1082</v>
      </c>
      <c r="G551" s="307" t="s">
        <v>105</v>
      </c>
      <c r="H551" s="139">
        <f>H553</f>
        <v>15.260000000000002</v>
      </c>
      <c r="I551" s="90"/>
      <c r="J551" s="140">
        <f>ROUND(I551*H551,2)</f>
        <v>0</v>
      </c>
      <c r="K551" s="137"/>
      <c r="O551" s="1">
        <f>H551*0.025*0.75</f>
        <v>0.28612500000000007</v>
      </c>
    </row>
    <row r="552" spans="2:15" s="11" customFormat="1">
      <c r="B552" s="141"/>
      <c r="D552" s="142" t="s">
        <v>95</v>
      </c>
      <c r="E552" s="143" t="s">
        <v>2</v>
      </c>
      <c r="F552" s="144" t="s">
        <v>1080</v>
      </c>
      <c r="H552" s="145">
        <f>((5.075+2.555)*1)*2</f>
        <v>15.260000000000002</v>
      </c>
      <c r="O552" s="1"/>
    </row>
    <row r="553" spans="2:15" s="12" customFormat="1">
      <c r="B553" s="146"/>
      <c r="D553" s="142" t="s">
        <v>95</v>
      </c>
      <c r="E553" s="147" t="s">
        <v>2</v>
      </c>
      <c r="F553" s="148" t="s">
        <v>96</v>
      </c>
      <c r="H553" s="149">
        <f>SUM(H552:H552)</f>
        <v>15.260000000000002</v>
      </c>
      <c r="O553" s="1"/>
    </row>
    <row r="554" spans="2:15" s="12" customFormat="1" ht="28.9" customHeight="1">
      <c r="B554" s="146"/>
      <c r="C554" s="135">
        <f>C551+1</f>
        <v>108</v>
      </c>
      <c r="D554" s="304" t="s">
        <v>65</v>
      </c>
      <c r="E554" s="305" t="s">
        <v>653</v>
      </c>
      <c r="F554" s="306" t="s">
        <v>1060</v>
      </c>
      <c r="G554" s="307" t="s">
        <v>155</v>
      </c>
      <c r="H554" s="139">
        <f>H560</f>
        <v>138.125</v>
      </c>
      <c r="I554" s="90"/>
      <c r="J554" s="140">
        <f>ROUND(I554*H554,2)</f>
        <v>0</v>
      </c>
      <c r="K554" s="137"/>
      <c r="O554" s="1">
        <f>H554*0.1*0.1*1.975</f>
        <v>2.7279687500000005</v>
      </c>
    </row>
    <row r="555" spans="2:15" s="11" customFormat="1">
      <c r="B555" s="141"/>
      <c r="D555" s="142" t="s">
        <v>95</v>
      </c>
      <c r="E555" s="143" t="s">
        <v>2</v>
      </c>
      <c r="F555" s="144" t="s">
        <v>1077</v>
      </c>
      <c r="H555" s="145">
        <f>(2.625*5)+(1.25*4)</f>
        <v>18.125</v>
      </c>
      <c r="O555" s="1"/>
    </row>
    <row r="556" spans="2:15" s="11" customFormat="1">
      <c r="B556" s="141"/>
      <c r="D556" s="142" t="s">
        <v>95</v>
      </c>
      <c r="E556" s="143" t="s">
        <v>2</v>
      </c>
      <c r="F556" s="144" t="s">
        <v>1061</v>
      </c>
      <c r="H556" s="145">
        <f>15</f>
        <v>15</v>
      </c>
      <c r="O556" s="1"/>
    </row>
    <row r="557" spans="2:15" s="11" customFormat="1">
      <c r="B557" s="141"/>
      <c r="D557" s="142" t="s">
        <v>95</v>
      </c>
      <c r="E557" s="143" t="s">
        <v>2</v>
      </c>
      <c r="F557" s="144" t="s">
        <v>1062</v>
      </c>
      <c r="H557" s="145">
        <f>11</f>
        <v>11</v>
      </c>
      <c r="O557" s="1"/>
    </row>
    <row r="558" spans="2:15" s="11" customFormat="1">
      <c r="B558" s="141"/>
      <c r="D558" s="142" t="s">
        <v>95</v>
      </c>
      <c r="E558" s="143" t="s">
        <v>2</v>
      </c>
      <c r="F558" s="144" t="s">
        <v>1063</v>
      </c>
      <c r="H558" s="145">
        <f>84</f>
        <v>84</v>
      </c>
      <c r="O558" s="1"/>
    </row>
    <row r="559" spans="2:15" s="11" customFormat="1">
      <c r="B559" s="141"/>
      <c r="D559" s="142" t="s">
        <v>95</v>
      </c>
      <c r="E559" s="143" t="s">
        <v>2</v>
      </c>
      <c r="F559" s="144" t="s">
        <v>1064</v>
      </c>
      <c r="H559" s="145">
        <f>10</f>
        <v>10</v>
      </c>
      <c r="O559" s="1"/>
    </row>
    <row r="560" spans="2:15" s="12" customFormat="1">
      <c r="B560" s="146"/>
      <c r="D560" s="142" t="s">
        <v>95</v>
      </c>
      <c r="E560" s="147" t="s">
        <v>2</v>
      </c>
      <c r="F560" s="148" t="s">
        <v>96</v>
      </c>
      <c r="H560" s="149">
        <f>SUM(H555:H559)</f>
        <v>138.125</v>
      </c>
      <c r="O560" s="1"/>
    </row>
    <row r="561" spans="2:15" s="12" customFormat="1" ht="28.9" customHeight="1">
      <c r="B561" s="146"/>
      <c r="C561" s="135">
        <f>C554+1</f>
        <v>109</v>
      </c>
      <c r="D561" s="304" t="s">
        <v>65</v>
      </c>
      <c r="E561" s="305" t="s">
        <v>1065</v>
      </c>
      <c r="F561" s="306" t="s">
        <v>1066</v>
      </c>
      <c r="G561" s="307" t="s">
        <v>265</v>
      </c>
      <c r="H561" s="139">
        <f>H567</f>
        <v>92</v>
      </c>
      <c r="I561" s="90"/>
      <c r="J561" s="140">
        <f>ROUND(I561*H561,2)</f>
        <v>0</v>
      </c>
      <c r="K561" s="137"/>
      <c r="O561" s="1">
        <f>H561*0.0225*0.3*1.975</f>
        <v>1.2264749999999998</v>
      </c>
    </row>
    <row r="562" spans="2:15" s="11" customFormat="1">
      <c r="B562" s="141"/>
      <c r="D562" s="142" t="s">
        <v>95</v>
      </c>
      <c r="E562" s="143" t="s">
        <v>2</v>
      </c>
      <c r="F562" s="144" t="s">
        <v>1076</v>
      </c>
      <c r="H562" s="145">
        <f>(30+30+9)</f>
        <v>69</v>
      </c>
      <c r="O562" s="1"/>
    </row>
    <row r="563" spans="2:15" s="11" customFormat="1">
      <c r="B563" s="141"/>
      <c r="D563" s="142" t="s">
        <v>95</v>
      </c>
      <c r="E563" s="143" t="s">
        <v>2</v>
      </c>
      <c r="F563" s="144" t="s">
        <v>1067</v>
      </c>
      <c r="H563" s="145">
        <f>3</f>
        <v>3</v>
      </c>
      <c r="O563" s="1"/>
    </row>
    <row r="564" spans="2:15" s="11" customFormat="1">
      <c r="B564" s="141"/>
      <c r="D564" s="142" t="s">
        <v>95</v>
      </c>
      <c r="E564" s="143" t="s">
        <v>2</v>
      </c>
      <c r="F564" s="144" t="s">
        <v>1068</v>
      </c>
      <c r="H564" s="145">
        <f>2</f>
        <v>2</v>
      </c>
      <c r="O564" s="1"/>
    </row>
    <row r="565" spans="2:15" s="11" customFormat="1">
      <c r="B565" s="141"/>
      <c r="D565" s="142" t="s">
        <v>95</v>
      </c>
      <c r="E565" s="143" t="s">
        <v>2</v>
      </c>
      <c r="F565" s="144" t="s">
        <v>1069</v>
      </c>
      <c r="H565" s="145">
        <f>16</f>
        <v>16</v>
      </c>
      <c r="O565" s="1"/>
    </row>
    <row r="566" spans="2:15" s="11" customFormat="1">
      <c r="B566" s="141"/>
      <c r="D566" s="142" t="s">
        <v>95</v>
      </c>
      <c r="E566" s="143" t="s">
        <v>2</v>
      </c>
      <c r="F566" s="144" t="s">
        <v>1070</v>
      </c>
      <c r="H566" s="145">
        <f>2</f>
        <v>2</v>
      </c>
      <c r="O566" s="1"/>
    </row>
    <row r="567" spans="2:15" s="12" customFormat="1">
      <c r="B567" s="146"/>
      <c r="D567" s="142" t="s">
        <v>95</v>
      </c>
      <c r="E567" s="147" t="s">
        <v>2</v>
      </c>
      <c r="F567" s="148" t="s">
        <v>96</v>
      </c>
      <c r="H567" s="149">
        <f>SUM(H562:H566)</f>
        <v>92</v>
      </c>
      <c r="O567" s="1"/>
    </row>
    <row r="568" spans="2:15" s="12" customFormat="1" ht="28.9" customHeight="1">
      <c r="B568" s="146"/>
      <c r="C568" s="135">
        <f>C561+1</f>
        <v>110</v>
      </c>
      <c r="D568" s="304" t="s">
        <v>65</v>
      </c>
      <c r="E568" s="305" t="s">
        <v>1071</v>
      </c>
      <c r="F568" s="306" t="s">
        <v>1072</v>
      </c>
      <c r="G568" s="307" t="s">
        <v>101</v>
      </c>
      <c r="H568" s="139">
        <f>H570</f>
        <v>29.251000000000001</v>
      </c>
      <c r="I568" s="90"/>
      <c r="J568" s="140">
        <f>ROUND(I568*H568,2)</f>
        <v>0</v>
      </c>
      <c r="K568" s="137"/>
      <c r="O568" s="1"/>
    </row>
    <row r="569" spans="2:15" s="11" customFormat="1">
      <c r="B569" s="141"/>
      <c r="D569" s="142" t="s">
        <v>95</v>
      </c>
      <c r="E569" s="143" t="s">
        <v>2</v>
      </c>
      <c r="F569" s="144" t="s">
        <v>2604</v>
      </c>
      <c r="H569" s="145">
        <f>FLOOR(SUM(O104:O567),0.001)</f>
        <v>29.251000000000001</v>
      </c>
      <c r="O569" s="1"/>
    </row>
    <row r="570" spans="2:15" s="12" customFormat="1">
      <c r="B570" s="146"/>
      <c r="D570" s="142" t="s">
        <v>95</v>
      </c>
      <c r="E570" s="147" t="s">
        <v>2</v>
      </c>
      <c r="F570" s="148" t="s">
        <v>96</v>
      </c>
      <c r="H570" s="149">
        <f>SUM(H569:H569)</f>
        <v>29.251000000000001</v>
      </c>
      <c r="O570" s="1"/>
    </row>
    <row r="571" spans="2:15" s="12" customFormat="1" ht="28.9" customHeight="1">
      <c r="B571" s="146"/>
      <c r="C571" s="135">
        <f>C568+1</f>
        <v>111</v>
      </c>
      <c r="D571" s="304" t="s">
        <v>65</v>
      </c>
      <c r="E571" s="305" t="s">
        <v>647</v>
      </c>
      <c r="F571" s="306" t="s">
        <v>1073</v>
      </c>
      <c r="G571" s="307" t="s">
        <v>101</v>
      </c>
      <c r="H571" s="139">
        <f>H573</f>
        <v>29.251000000000001</v>
      </c>
      <c r="I571" s="90"/>
      <c r="J571" s="140">
        <f>ROUND(I571*H571,2)</f>
        <v>0</v>
      </c>
      <c r="K571" s="137"/>
      <c r="O571" s="1"/>
    </row>
    <row r="572" spans="2:15" s="11" customFormat="1">
      <c r="B572" s="141"/>
      <c r="D572" s="142" t="s">
        <v>95</v>
      </c>
      <c r="E572" s="143" t="s">
        <v>2</v>
      </c>
      <c r="F572" s="144" t="s">
        <v>2605</v>
      </c>
      <c r="H572" s="145">
        <f>H570</f>
        <v>29.251000000000001</v>
      </c>
      <c r="O572" s="1"/>
    </row>
    <row r="573" spans="2:15" s="12" customFormat="1">
      <c r="B573" s="146"/>
      <c r="D573" s="142" t="s">
        <v>95</v>
      </c>
      <c r="E573" s="147" t="s">
        <v>2</v>
      </c>
      <c r="F573" s="148" t="s">
        <v>96</v>
      </c>
      <c r="H573" s="149">
        <f>SUM(H572:H572)</f>
        <v>29.251000000000001</v>
      </c>
      <c r="O573" s="1"/>
    </row>
    <row r="574" spans="2:15" s="12" customFormat="1" ht="28.9" customHeight="1">
      <c r="B574" s="146"/>
      <c r="C574" s="135">
        <f>C571+1</f>
        <v>112</v>
      </c>
      <c r="D574" s="304" t="s">
        <v>65</v>
      </c>
      <c r="E574" s="305" t="s">
        <v>648</v>
      </c>
      <c r="F574" s="306" t="s">
        <v>1074</v>
      </c>
      <c r="G574" s="307" t="s">
        <v>101</v>
      </c>
      <c r="H574" s="139">
        <f>H576</f>
        <v>555.76900000000001</v>
      </c>
      <c r="I574" s="90"/>
      <c r="J574" s="140">
        <f>ROUND(I574*H574,2)</f>
        <v>0</v>
      </c>
      <c r="K574" s="137"/>
      <c r="O574" s="1"/>
    </row>
    <row r="575" spans="2:15" s="11" customFormat="1">
      <c r="B575" s="141"/>
      <c r="D575" s="142" t="s">
        <v>95</v>
      </c>
      <c r="E575" s="143" t="s">
        <v>2</v>
      </c>
      <c r="F575" s="144" t="s">
        <v>2606</v>
      </c>
      <c r="H575" s="145">
        <f>H573*19</f>
        <v>555.76900000000001</v>
      </c>
      <c r="O575" s="1"/>
    </row>
    <row r="576" spans="2:15" s="12" customFormat="1">
      <c r="B576" s="146"/>
      <c r="D576" s="142" t="s">
        <v>95</v>
      </c>
      <c r="E576" s="147" t="s">
        <v>2</v>
      </c>
      <c r="F576" s="148" t="s">
        <v>96</v>
      </c>
      <c r="H576" s="149">
        <f>SUM(H575:H575)</f>
        <v>555.76900000000001</v>
      </c>
      <c r="O576" s="1"/>
    </row>
    <row r="577" spans="2:15" s="12" customFormat="1" ht="28.9" customHeight="1">
      <c r="B577" s="146"/>
      <c r="C577" s="135">
        <f>C574+1</f>
        <v>113</v>
      </c>
      <c r="D577" s="304" t="s">
        <v>65</v>
      </c>
      <c r="E577" s="305" t="s">
        <v>649</v>
      </c>
      <c r="F577" s="306" t="s">
        <v>1075</v>
      </c>
      <c r="G577" s="307" t="s">
        <v>101</v>
      </c>
      <c r="H577" s="139">
        <f>H579</f>
        <v>29.251000000000001</v>
      </c>
      <c r="I577" s="90"/>
      <c r="J577" s="140">
        <f>ROUND(I577*H577,2)</f>
        <v>0</v>
      </c>
      <c r="K577" s="137"/>
      <c r="O577" s="1"/>
    </row>
    <row r="578" spans="2:15" s="11" customFormat="1">
      <c r="B578" s="141"/>
      <c r="D578" s="142" t="s">
        <v>95</v>
      </c>
      <c r="E578" s="143" t="s">
        <v>2</v>
      </c>
      <c r="F578" s="144" t="s">
        <v>2605</v>
      </c>
      <c r="H578" s="145">
        <f>H573</f>
        <v>29.251000000000001</v>
      </c>
      <c r="O578" s="1"/>
    </row>
    <row r="579" spans="2:15" s="12" customFormat="1">
      <c r="B579" s="146"/>
      <c r="D579" s="142" t="s">
        <v>95</v>
      </c>
      <c r="E579" s="147" t="s">
        <v>2</v>
      </c>
      <c r="F579" s="148" t="s">
        <v>96</v>
      </c>
      <c r="H579" s="149">
        <f>SUM(H578:H578)</f>
        <v>29.251000000000001</v>
      </c>
      <c r="O579" s="1"/>
    </row>
    <row r="580" spans="2:15" s="10" customFormat="1" ht="29.85" customHeight="1">
      <c r="B580" s="128"/>
      <c r="D580" s="129" t="s">
        <v>39</v>
      </c>
      <c r="E580" s="133" t="s">
        <v>202</v>
      </c>
      <c r="F580" s="133" t="s">
        <v>203</v>
      </c>
      <c r="J580" s="134">
        <f>SUM(J581)</f>
        <v>0</v>
      </c>
      <c r="O580"/>
    </row>
    <row r="581" spans="2:15" s="1" customFormat="1" ht="22.5" customHeight="1">
      <c r="B581" s="39"/>
      <c r="C581" s="135">
        <f>C577+1</f>
        <v>114</v>
      </c>
      <c r="D581" s="135" t="s">
        <v>65</v>
      </c>
      <c r="E581" s="136" t="s">
        <v>204</v>
      </c>
      <c r="F581" s="137" t="s">
        <v>205</v>
      </c>
      <c r="G581" s="138" t="s">
        <v>101</v>
      </c>
      <c r="H581" s="139">
        <f>H583</f>
        <v>262.41000000000003</v>
      </c>
      <c r="I581" s="90"/>
      <c r="J581" s="140">
        <f>ROUND(I581*H581,2)</f>
        <v>0</v>
      </c>
      <c r="K581" s="137"/>
    </row>
    <row r="582" spans="2:15" s="11" customFormat="1">
      <c r="B582" s="141"/>
      <c r="D582" s="142" t="s">
        <v>95</v>
      </c>
      <c r="E582" s="143" t="s">
        <v>2</v>
      </c>
      <c r="F582" s="144" t="s">
        <v>2607</v>
      </c>
      <c r="H582" s="145">
        <f>FLOOR(SUM(P104:P567),0.001)</f>
        <v>262.41000000000003</v>
      </c>
      <c r="O582" s="1"/>
    </row>
    <row r="583" spans="2:15" s="12" customFormat="1">
      <c r="B583" s="146"/>
      <c r="D583" s="142" t="s">
        <v>95</v>
      </c>
      <c r="E583" s="147" t="s">
        <v>2</v>
      </c>
      <c r="F583" s="148" t="s">
        <v>96</v>
      </c>
      <c r="H583" s="149">
        <f>SUM(H582:H582)</f>
        <v>262.41000000000003</v>
      </c>
      <c r="J583" s="345"/>
      <c r="O583" s="1"/>
    </row>
    <row r="584" spans="2:15" s="10" customFormat="1" ht="37.35" customHeight="1">
      <c r="B584" s="128"/>
      <c r="D584" s="129" t="s">
        <v>39</v>
      </c>
      <c r="E584" s="130" t="s">
        <v>206</v>
      </c>
      <c r="F584" s="130" t="s">
        <v>207</v>
      </c>
      <c r="J584" s="131">
        <f>J585+J611+J629+J647+J714+J715+J1017+J1059+J1108+J1122+J1158+J1193+J1208+J1246+J1260+J1316+J1333</f>
        <v>0</v>
      </c>
      <c r="O584"/>
    </row>
    <row r="585" spans="2:15" s="10" customFormat="1" ht="19.899999999999999" customHeight="1">
      <c r="B585" s="128"/>
      <c r="D585" s="129" t="s">
        <v>39</v>
      </c>
      <c r="E585" s="133" t="s">
        <v>208</v>
      </c>
      <c r="F585" s="133" t="s">
        <v>209</v>
      </c>
      <c r="I585" s="23"/>
      <c r="J585" s="134">
        <f>SUM(J586:J610)</f>
        <v>0</v>
      </c>
      <c r="O585"/>
    </row>
    <row r="586" spans="2:15" s="1" customFormat="1" ht="28.9" customHeight="1">
      <c r="B586" s="39"/>
      <c r="C586" s="135">
        <f>C581+1</f>
        <v>115</v>
      </c>
      <c r="D586" s="135" t="s">
        <v>65</v>
      </c>
      <c r="E586" s="136" t="s">
        <v>1086</v>
      </c>
      <c r="F586" s="137" t="s">
        <v>1105</v>
      </c>
      <c r="G586" s="138" t="s">
        <v>105</v>
      </c>
      <c r="H586" s="139">
        <f>H588</f>
        <v>18.306000000000001</v>
      </c>
      <c r="I586" s="90"/>
      <c r="J586" s="140">
        <f>ROUND(I586*H586,2)</f>
        <v>0</v>
      </c>
      <c r="K586" s="137"/>
    </row>
    <row r="587" spans="2:15" s="11" customFormat="1" ht="27">
      <c r="B587" s="141"/>
      <c r="D587" s="142" t="s">
        <v>95</v>
      </c>
      <c r="E587" s="143" t="s">
        <v>2</v>
      </c>
      <c r="F587" s="144" t="s">
        <v>2493</v>
      </c>
      <c r="H587" s="145">
        <f>((2.3*2.955)+(1.14*0.35)+(1.14*0.6)+(2.245+2)*0.3)*2</f>
        <v>18.306000000000001</v>
      </c>
      <c r="O587" s="1"/>
    </row>
    <row r="588" spans="2:15" s="12" customFormat="1">
      <c r="B588" s="146"/>
      <c r="D588" s="142" t="s">
        <v>95</v>
      </c>
      <c r="E588" s="147" t="s">
        <v>2</v>
      </c>
      <c r="F588" s="148" t="s">
        <v>96</v>
      </c>
      <c r="H588" s="149">
        <f>SUM(H587:H587)</f>
        <v>18.306000000000001</v>
      </c>
      <c r="O588" s="1"/>
    </row>
    <row r="589" spans="2:15" s="1" customFormat="1" ht="28.9" customHeight="1">
      <c r="B589" s="39"/>
      <c r="C589" s="135">
        <f>C586+1</f>
        <v>116</v>
      </c>
      <c r="D589" s="135" t="s">
        <v>65</v>
      </c>
      <c r="E589" s="136" t="s">
        <v>1087</v>
      </c>
      <c r="F589" s="137" t="s">
        <v>1106</v>
      </c>
      <c r="G589" s="138" t="s">
        <v>105</v>
      </c>
      <c r="H589" s="139">
        <f>H591</f>
        <v>42.339839999999995</v>
      </c>
      <c r="I589" s="90"/>
      <c r="J589" s="140">
        <f>ROUND(I589*H589,2)</f>
        <v>0</v>
      </c>
      <c r="K589" s="137"/>
    </row>
    <row r="590" spans="2:15" s="11" customFormat="1" ht="27">
      <c r="B590" s="141"/>
      <c r="D590" s="142" t="s">
        <v>95</v>
      </c>
      <c r="E590" s="143" t="s">
        <v>2</v>
      </c>
      <c r="F590" s="144" t="s">
        <v>2494</v>
      </c>
      <c r="H590" s="145">
        <f>((2.3+2.955)*2*(1.742+0.15)+(0.35)*2*0.15+(0.6)*2*0.15+(0.5*4)*0.5)*2</f>
        <v>42.339839999999995</v>
      </c>
      <c r="O590" s="1"/>
    </row>
    <row r="591" spans="2:15" s="12" customFormat="1">
      <c r="B591" s="146"/>
      <c r="D591" s="142" t="s">
        <v>95</v>
      </c>
      <c r="E591" s="147" t="s">
        <v>2</v>
      </c>
      <c r="F591" s="148" t="s">
        <v>96</v>
      </c>
      <c r="H591" s="149">
        <f>SUM(H590:H590)</f>
        <v>42.339839999999995</v>
      </c>
      <c r="O591" s="1"/>
    </row>
    <row r="592" spans="2:15" s="12" customFormat="1" ht="28.9" customHeight="1">
      <c r="B592" s="146"/>
      <c r="C592" s="314">
        <f>C589+1</f>
        <v>117</v>
      </c>
      <c r="D592" s="314" t="s">
        <v>123</v>
      </c>
      <c r="E592" s="315" t="s">
        <v>1103</v>
      </c>
      <c r="F592" s="316" t="s">
        <v>1104</v>
      </c>
      <c r="G592" s="317" t="s">
        <v>101</v>
      </c>
      <c r="H592" s="318">
        <f>H595</f>
        <v>2.1226043999999999E-2</v>
      </c>
      <c r="I592" s="91"/>
      <c r="J592" s="155">
        <f>ROUND(I592*H592,2)</f>
        <v>0</v>
      </c>
      <c r="K592" s="152"/>
      <c r="L592" s="1"/>
      <c r="M592" s="1"/>
      <c r="O592" s="1"/>
    </row>
    <row r="593" spans="2:15" s="11" customFormat="1" ht="27">
      <c r="B593" s="141"/>
      <c r="D593" s="142" t="s">
        <v>95</v>
      </c>
      <c r="E593" s="143" t="s">
        <v>2</v>
      </c>
      <c r="F593" s="144" t="s">
        <v>2495</v>
      </c>
      <c r="H593" s="145">
        <f>((2.3*2.955)+(1.14*0.35)+(1.14*0.6)+(2.245+2)*0.3)*0.00035*2</f>
        <v>6.4071000000000006E-3</v>
      </c>
      <c r="O593" s="1"/>
    </row>
    <row r="594" spans="2:15" s="11" customFormat="1" ht="27">
      <c r="B594" s="141"/>
      <c r="D594" s="142" t="s">
        <v>95</v>
      </c>
      <c r="E594" s="143" t="s">
        <v>2</v>
      </c>
      <c r="F594" s="144" t="s">
        <v>2496</v>
      </c>
      <c r="H594" s="145">
        <f>((2.3+2.955)*2*(1.742+0.15)+(0.35)*2*0.15+(0.6)*2*0.15+(0.5*4)*0.5)*0.00035*2</f>
        <v>1.4818943999999999E-2</v>
      </c>
      <c r="O594" s="1"/>
    </row>
    <row r="595" spans="2:15" s="12" customFormat="1">
      <c r="B595" s="146"/>
      <c r="D595" s="142" t="s">
        <v>95</v>
      </c>
      <c r="E595" s="147" t="s">
        <v>2</v>
      </c>
      <c r="F595" s="148" t="s">
        <v>96</v>
      </c>
      <c r="H595" s="149">
        <f>SUM(H593:H594)</f>
        <v>2.1226043999999999E-2</v>
      </c>
      <c r="O595" s="1"/>
    </row>
    <row r="596" spans="2:15" s="1" customFormat="1" ht="28.9" customHeight="1">
      <c r="B596" s="39"/>
      <c r="C596" s="135">
        <f>C592+1</f>
        <v>118</v>
      </c>
      <c r="D596" s="135" t="s">
        <v>65</v>
      </c>
      <c r="E596" s="136" t="s">
        <v>1083</v>
      </c>
      <c r="F596" s="137" t="s">
        <v>1084</v>
      </c>
      <c r="G596" s="138" t="s">
        <v>105</v>
      </c>
      <c r="H596" s="139">
        <f>H598</f>
        <v>18.306000000000001</v>
      </c>
      <c r="I596" s="90"/>
      <c r="J596" s="140">
        <f>ROUND(I596*H596,2)</f>
        <v>0</v>
      </c>
      <c r="K596" s="137"/>
    </row>
    <row r="597" spans="2:15" s="11" customFormat="1" ht="27">
      <c r="B597" s="141"/>
      <c r="D597" s="142" t="s">
        <v>95</v>
      </c>
      <c r="E597" s="143" t="s">
        <v>2</v>
      </c>
      <c r="F597" s="144" t="s">
        <v>2497</v>
      </c>
      <c r="H597" s="145">
        <f>((2.3*2.955)+(1.14*0.35)+(1.14*0.6)+(2.245+2)*0.3)*2</f>
        <v>18.306000000000001</v>
      </c>
      <c r="O597" s="1"/>
    </row>
    <row r="598" spans="2:15" s="12" customFormat="1">
      <c r="B598" s="146"/>
      <c r="D598" s="142" t="s">
        <v>95</v>
      </c>
      <c r="E598" s="147" t="s">
        <v>2</v>
      </c>
      <c r="F598" s="148" t="s">
        <v>96</v>
      </c>
      <c r="H598" s="149">
        <f>SUM(H597:H597)</f>
        <v>18.306000000000001</v>
      </c>
      <c r="O598" s="1"/>
    </row>
    <row r="599" spans="2:15" s="1" customFormat="1" ht="28.9" customHeight="1">
      <c r="B599" s="39"/>
      <c r="C599" s="135">
        <f>C596+1</f>
        <v>119</v>
      </c>
      <c r="D599" s="135" t="s">
        <v>65</v>
      </c>
      <c r="E599" s="136" t="s">
        <v>1088</v>
      </c>
      <c r="F599" s="137" t="s">
        <v>1089</v>
      </c>
      <c r="G599" s="138" t="s">
        <v>105</v>
      </c>
      <c r="H599" s="139">
        <f>H601</f>
        <v>42.339839999999995</v>
      </c>
      <c r="I599" s="90"/>
      <c r="J599" s="140">
        <f>ROUND(I599*H599,2)</f>
        <v>0</v>
      </c>
      <c r="K599" s="137"/>
    </row>
    <row r="600" spans="2:15" s="11" customFormat="1" ht="27">
      <c r="B600" s="141"/>
      <c r="D600" s="142" t="s">
        <v>95</v>
      </c>
      <c r="E600" s="143" t="s">
        <v>2</v>
      </c>
      <c r="F600" s="144" t="s">
        <v>2498</v>
      </c>
      <c r="H600" s="145">
        <f>((2.3+2.955)*2*(1.742+0.15)+(0.35)*2*0.15+(0.6)*2*0.15+(0.5*4)*0.5)*2</f>
        <v>42.339839999999995</v>
      </c>
      <c r="O600" s="1"/>
    </row>
    <row r="601" spans="2:15" s="12" customFormat="1">
      <c r="B601" s="146"/>
      <c r="D601" s="142" t="s">
        <v>95</v>
      </c>
      <c r="E601" s="147" t="s">
        <v>2</v>
      </c>
      <c r="F601" s="148" t="s">
        <v>96</v>
      </c>
      <c r="H601" s="149">
        <f>SUM(H600:H600)</f>
        <v>42.339839999999995</v>
      </c>
      <c r="O601" s="1"/>
    </row>
    <row r="602" spans="2:15" s="1" customFormat="1" ht="28.9" customHeight="1">
      <c r="B602" s="39"/>
      <c r="C602" s="311">
        <f>C599+1</f>
        <v>120</v>
      </c>
      <c r="D602" s="311" t="s">
        <v>123</v>
      </c>
      <c r="E602" s="312" t="s">
        <v>1085</v>
      </c>
      <c r="F602" s="152" t="s">
        <v>1090</v>
      </c>
      <c r="G602" s="153" t="s">
        <v>105</v>
      </c>
      <c r="H602" s="154">
        <f>H605</f>
        <v>66.710424000000003</v>
      </c>
      <c r="I602" s="91"/>
      <c r="J602" s="155">
        <f>ROUND(I602*H602,2)</f>
        <v>0</v>
      </c>
      <c r="K602" s="152"/>
    </row>
    <row r="603" spans="2:15" s="11" customFormat="1" ht="27">
      <c r="B603" s="141"/>
      <c r="D603" s="142" t="s">
        <v>95</v>
      </c>
      <c r="E603" s="143" t="s">
        <v>2</v>
      </c>
      <c r="F603" s="144" t="s">
        <v>2500</v>
      </c>
      <c r="H603" s="145">
        <f>((2.3*2.955)+(1.14*0.35)+(1.14*0.6)+(2.245+2)*0.3)*2*1.1</f>
        <v>20.136600000000001</v>
      </c>
      <c r="O603" s="1"/>
    </row>
    <row r="604" spans="2:15" s="11" customFormat="1" ht="27">
      <c r="B604" s="141"/>
      <c r="D604" s="142" t="s">
        <v>95</v>
      </c>
      <c r="E604" s="143" t="s">
        <v>2</v>
      </c>
      <c r="F604" s="144" t="s">
        <v>2499</v>
      </c>
      <c r="H604" s="145">
        <f>((2.3+2.955)*2*(1.742+0.15)+(0.35)*2*0.15+(0.6)*2*0.15+(0.5*4)*0.5)*2*1.1</f>
        <v>46.573824000000002</v>
      </c>
      <c r="O604" s="1"/>
    </row>
    <row r="605" spans="2:15" s="12" customFormat="1">
      <c r="B605" s="146"/>
      <c r="D605" s="142" t="s">
        <v>95</v>
      </c>
      <c r="E605" s="147" t="s">
        <v>2</v>
      </c>
      <c r="F605" s="148" t="s">
        <v>96</v>
      </c>
      <c r="H605" s="149">
        <f>SUM(H603:H604)</f>
        <v>66.710424000000003</v>
      </c>
      <c r="O605" s="1"/>
    </row>
    <row r="606" spans="2:15" s="1" customFormat="1" ht="28.9" customHeight="1">
      <c r="B606" s="39"/>
      <c r="C606" s="135">
        <f>C602+1</f>
        <v>121</v>
      </c>
      <c r="D606" s="135" t="s">
        <v>65</v>
      </c>
      <c r="E606" s="136" t="s">
        <v>1091</v>
      </c>
      <c r="F606" s="137" t="s">
        <v>210</v>
      </c>
      <c r="G606" s="138" t="s">
        <v>105</v>
      </c>
      <c r="H606" s="139">
        <f>H609</f>
        <v>30.322919999999996</v>
      </c>
      <c r="I606" s="90"/>
      <c r="J606" s="140">
        <f>ROUND(I606*H606,2)</f>
        <v>0</v>
      </c>
      <c r="K606" s="137"/>
    </row>
    <row r="607" spans="2:15" s="11" customFormat="1" ht="27">
      <c r="B607" s="141"/>
      <c r="D607" s="142" t="s">
        <v>95</v>
      </c>
      <c r="E607" s="143" t="s">
        <v>2</v>
      </c>
      <c r="F607" s="144" t="s">
        <v>2501</v>
      </c>
      <c r="H607" s="145">
        <f>((2.3*2.955)+(1.14*0.35)+(1.14*0.6)+(2.245+2)*0.3)</f>
        <v>9.1530000000000005</v>
      </c>
      <c r="O607" s="1"/>
    </row>
    <row r="608" spans="2:15" s="11" customFormat="1" ht="27">
      <c r="B608" s="141"/>
      <c r="D608" s="142" t="s">
        <v>95</v>
      </c>
      <c r="E608" s="143" t="s">
        <v>2</v>
      </c>
      <c r="F608" s="144" t="s">
        <v>2502</v>
      </c>
      <c r="H608" s="145">
        <f>((2.3+2.955)*2*(1.742+0.15)+(0.35)*2*0.15+(0.6)*2*0.15+(0.5*4)*0.5)</f>
        <v>21.169919999999998</v>
      </c>
      <c r="O608" s="1"/>
    </row>
    <row r="609" spans="2:15" s="12" customFormat="1">
      <c r="B609" s="146"/>
      <c r="D609" s="142" t="s">
        <v>95</v>
      </c>
      <c r="E609" s="147" t="s">
        <v>2</v>
      </c>
      <c r="F609" s="148" t="s">
        <v>96</v>
      </c>
      <c r="H609" s="149">
        <f>SUM(H607:H608)</f>
        <v>30.322919999999996</v>
      </c>
      <c r="O609" s="1"/>
    </row>
    <row r="610" spans="2:15" s="1" customFormat="1" ht="22.5" customHeight="1">
      <c r="B610" s="39"/>
      <c r="C610" s="135">
        <f>C606+1</f>
        <v>122</v>
      </c>
      <c r="D610" s="135" t="s">
        <v>65</v>
      </c>
      <c r="E610" s="136" t="s">
        <v>1092</v>
      </c>
      <c r="F610" s="137" t="s">
        <v>1093</v>
      </c>
      <c r="G610" s="138" t="s">
        <v>261</v>
      </c>
      <c r="H610" s="139">
        <f>SUM(J586:J609)</f>
        <v>0</v>
      </c>
      <c r="I610" s="90"/>
      <c r="J610" s="140">
        <f>ROUND(I610%*H610,2)</f>
        <v>0</v>
      </c>
      <c r="K610" s="137"/>
    </row>
    <row r="611" spans="2:15" s="10" customFormat="1" ht="19.899999999999999" customHeight="1">
      <c r="B611" s="128"/>
      <c r="D611" s="129" t="s">
        <v>39</v>
      </c>
      <c r="E611" s="133">
        <v>712</v>
      </c>
      <c r="F611" s="133" t="s">
        <v>1094</v>
      </c>
      <c r="I611" s="23"/>
      <c r="J611" s="134">
        <f>SUM(J612:J628)</f>
        <v>0</v>
      </c>
      <c r="O611"/>
    </row>
    <row r="612" spans="2:15" s="1" customFormat="1" ht="28.9" customHeight="1">
      <c r="B612" s="39"/>
      <c r="C612" s="135">
        <f>C610+1</f>
        <v>123</v>
      </c>
      <c r="D612" s="135" t="s">
        <v>65</v>
      </c>
      <c r="E612" s="136" t="s">
        <v>250</v>
      </c>
      <c r="F612" s="137" t="s">
        <v>1101</v>
      </c>
      <c r="G612" s="138" t="s">
        <v>105</v>
      </c>
      <c r="H612" s="139">
        <f>H615</f>
        <v>29.337500000000002</v>
      </c>
      <c r="I612" s="90"/>
      <c r="J612" s="140">
        <f>ROUND(I612*H612,2)</f>
        <v>0</v>
      </c>
      <c r="K612" s="137"/>
    </row>
    <row r="613" spans="2:15" s="11" customFormat="1">
      <c r="B613" s="141"/>
      <c r="D613" s="142" t="s">
        <v>95</v>
      </c>
      <c r="E613" s="143" t="s">
        <v>2</v>
      </c>
      <c r="F613" s="144" t="s">
        <v>1096</v>
      </c>
      <c r="H613" s="145">
        <f>(4.5*5.075)</f>
        <v>22.837500000000002</v>
      </c>
      <c r="O613" s="1"/>
    </row>
    <row r="614" spans="2:15" s="11" customFormat="1">
      <c r="B614" s="141"/>
      <c r="D614" s="142" t="s">
        <v>95</v>
      </c>
      <c r="E614" s="143" t="s">
        <v>2</v>
      </c>
      <c r="F614" s="144" t="s">
        <v>2503</v>
      </c>
      <c r="H614" s="145">
        <f>(2.5*2.6)</f>
        <v>6.5</v>
      </c>
      <c r="O614" s="1"/>
    </row>
    <row r="615" spans="2:15" s="12" customFormat="1">
      <c r="B615" s="146"/>
      <c r="D615" s="142" t="s">
        <v>95</v>
      </c>
      <c r="E615" s="147" t="s">
        <v>2</v>
      </c>
      <c r="F615" s="148" t="s">
        <v>96</v>
      </c>
      <c r="H615" s="149">
        <f>SUM(H613:H614)</f>
        <v>29.337500000000002</v>
      </c>
      <c r="O615" s="1"/>
    </row>
    <row r="616" spans="2:15" s="1" customFormat="1" ht="22.5" customHeight="1">
      <c r="B616" s="39"/>
      <c r="C616" s="150">
        <f>C612+1</f>
        <v>124</v>
      </c>
      <c r="D616" s="150" t="s">
        <v>123</v>
      </c>
      <c r="E616" s="151" t="s">
        <v>1098</v>
      </c>
      <c r="F616" s="152" t="s">
        <v>1099</v>
      </c>
      <c r="G616" s="153" t="s">
        <v>105</v>
      </c>
      <c r="H616" s="154">
        <f>H619</f>
        <v>32.271250000000002</v>
      </c>
      <c r="I616" s="91"/>
      <c r="J616" s="155">
        <f>ROUND(I616*H616,2)</f>
        <v>0</v>
      </c>
      <c r="K616" s="152"/>
    </row>
    <row r="617" spans="2:15" s="11" customFormat="1" ht="27">
      <c r="B617" s="141"/>
      <c r="D617" s="142" t="s">
        <v>95</v>
      </c>
      <c r="E617" s="143" t="s">
        <v>2</v>
      </c>
      <c r="F617" s="144" t="s">
        <v>1100</v>
      </c>
      <c r="H617" s="145">
        <f>(4.5*5.075)*1.1</f>
        <v>25.121250000000003</v>
      </c>
      <c r="O617" s="1"/>
    </row>
    <row r="618" spans="2:15" s="11" customFormat="1">
      <c r="B618" s="141"/>
      <c r="D618" s="142" t="s">
        <v>95</v>
      </c>
      <c r="E618" s="143" t="s">
        <v>2</v>
      </c>
      <c r="F618" s="144" t="s">
        <v>2504</v>
      </c>
      <c r="H618" s="145">
        <f>(2.5*2.6)*1.1</f>
        <v>7.15</v>
      </c>
      <c r="O618" s="1"/>
    </row>
    <row r="619" spans="2:15" s="12" customFormat="1">
      <c r="B619" s="146"/>
      <c r="D619" s="142" t="s">
        <v>95</v>
      </c>
      <c r="E619" s="147" t="s">
        <v>2</v>
      </c>
      <c r="F619" s="148" t="s">
        <v>96</v>
      </c>
      <c r="H619" s="149">
        <f>SUM(H617:H618)</f>
        <v>32.271250000000002</v>
      </c>
      <c r="O619" s="1"/>
    </row>
    <row r="620" spans="2:15" s="1" customFormat="1" ht="22.5" customHeight="1">
      <c r="B620" s="39"/>
      <c r="C620" s="135">
        <f>C616+1</f>
        <v>125</v>
      </c>
      <c r="D620" s="135" t="s">
        <v>65</v>
      </c>
      <c r="E620" s="136" t="s">
        <v>238</v>
      </c>
      <c r="F620" s="137" t="s">
        <v>239</v>
      </c>
      <c r="G620" s="138" t="s">
        <v>105</v>
      </c>
      <c r="H620" s="139">
        <f>H623</f>
        <v>8.4499999999999993</v>
      </c>
      <c r="I620" s="90"/>
      <c r="J620" s="140">
        <f>ROUND(I620*H620,2)</f>
        <v>0</v>
      </c>
      <c r="K620" s="137"/>
    </row>
    <row r="621" spans="2:15" s="11" customFormat="1">
      <c r="B621" s="141"/>
      <c r="D621" s="142" t="s">
        <v>95</v>
      </c>
      <c r="E621" s="143" t="s">
        <v>2</v>
      </c>
      <c r="F621" s="144" t="s">
        <v>2506</v>
      </c>
      <c r="H621" s="145">
        <f>(1.92*2)</f>
        <v>3.84</v>
      </c>
      <c r="O621" s="1"/>
    </row>
    <row r="622" spans="2:15" s="11" customFormat="1">
      <c r="B622" s="141"/>
      <c r="D622" s="142" t="s">
        <v>95</v>
      </c>
      <c r="E622" s="143" t="s">
        <v>2</v>
      </c>
      <c r="F622" s="144" t="s">
        <v>2505</v>
      </c>
      <c r="H622" s="145">
        <f>(2*2.305)</f>
        <v>4.6100000000000003</v>
      </c>
      <c r="O622" s="1"/>
    </row>
    <row r="623" spans="2:15" s="12" customFormat="1">
      <c r="B623" s="146"/>
      <c r="D623" s="142" t="s">
        <v>95</v>
      </c>
      <c r="E623" s="147" t="s">
        <v>2</v>
      </c>
      <c r="F623" s="148" t="s">
        <v>96</v>
      </c>
      <c r="H623" s="149">
        <f>SUM(H621:H622)</f>
        <v>8.4499999999999993</v>
      </c>
      <c r="O623" s="1"/>
    </row>
    <row r="624" spans="2:15" s="1" customFormat="1" ht="22.5" customHeight="1">
      <c r="B624" s="39"/>
      <c r="C624" s="150">
        <f>C620+1</f>
        <v>126</v>
      </c>
      <c r="D624" s="150" t="s">
        <v>123</v>
      </c>
      <c r="E624" s="151" t="s">
        <v>240</v>
      </c>
      <c r="F624" s="152" t="s">
        <v>1097</v>
      </c>
      <c r="G624" s="153" t="s">
        <v>105</v>
      </c>
      <c r="H624" s="154">
        <f>H627</f>
        <v>9.4281000000000006</v>
      </c>
      <c r="I624" s="91"/>
      <c r="J624" s="155">
        <f>ROUND(I624*H624,2)</f>
        <v>0</v>
      </c>
      <c r="K624" s="152"/>
    </row>
    <row r="625" spans="2:15" s="11" customFormat="1">
      <c r="B625" s="141"/>
      <c r="D625" s="142" t="s">
        <v>95</v>
      </c>
      <c r="F625" s="144" t="s">
        <v>2508</v>
      </c>
      <c r="H625" s="145">
        <f>(1.92*2)*1.1</f>
        <v>4.2240000000000002</v>
      </c>
      <c r="O625" s="1"/>
    </row>
    <row r="626" spans="2:15" s="11" customFormat="1">
      <c r="B626" s="141"/>
      <c r="D626" s="142" t="s">
        <v>95</v>
      </c>
      <c r="F626" s="144" t="s">
        <v>2507</v>
      </c>
      <c r="H626" s="145">
        <f>(2.28*2.075)*1.1</f>
        <v>5.2041000000000004</v>
      </c>
      <c r="O626" s="1"/>
    </row>
    <row r="627" spans="2:15" s="12" customFormat="1">
      <c r="B627" s="146"/>
      <c r="D627" s="142" t="s">
        <v>95</v>
      </c>
      <c r="E627" s="147" t="s">
        <v>2</v>
      </c>
      <c r="F627" s="148" t="s">
        <v>96</v>
      </c>
      <c r="H627" s="149">
        <f>SUM(H625:H626)</f>
        <v>9.4281000000000006</v>
      </c>
      <c r="O627" s="1"/>
    </row>
    <row r="628" spans="2:15" s="1" customFormat="1" ht="22.5" customHeight="1">
      <c r="B628" s="39"/>
      <c r="C628" s="135">
        <f>C624+1</f>
        <v>127</v>
      </c>
      <c r="D628" s="135" t="s">
        <v>65</v>
      </c>
      <c r="E628" s="136" t="s">
        <v>1102</v>
      </c>
      <c r="F628" s="137" t="s">
        <v>1093</v>
      </c>
      <c r="G628" s="138" t="s">
        <v>261</v>
      </c>
      <c r="H628" s="139">
        <f>SUM(J612:J627)</f>
        <v>0</v>
      </c>
      <c r="I628" s="90"/>
      <c r="J628" s="140">
        <f>ROUND(I628%*H628,2)</f>
        <v>0</v>
      </c>
      <c r="K628" s="137"/>
    </row>
    <row r="629" spans="2:15" s="10" customFormat="1" ht="29.85" customHeight="1">
      <c r="B629" s="128"/>
      <c r="D629" s="129" t="s">
        <v>39</v>
      </c>
      <c r="E629" s="133" t="s">
        <v>211</v>
      </c>
      <c r="F629" s="133" t="s">
        <v>212</v>
      </c>
      <c r="J629" s="134">
        <f>SUM(J630:J646)</f>
        <v>0</v>
      </c>
      <c r="O629"/>
    </row>
    <row r="630" spans="2:15" s="1" customFormat="1" ht="15.6" customHeight="1">
      <c r="B630" s="39"/>
      <c r="C630" s="135">
        <f>C628+1</f>
        <v>128</v>
      </c>
      <c r="D630" s="135" t="s">
        <v>65</v>
      </c>
      <c r="E630" s="136" t="s">
        <v>241</v>
      </c>
      <c r="F630" s="137" t="s">
        <v>242</v>
      </c>
      <c r="G630" s="138" t="s">
        <v>105</v>
      </c>
      <c r="H630" s="139">
        <f>H633</f>
        <v>33.799999999999997</v>
      </c>
      <c r="I630" s="90"/>
      <c r="J630" s="140">
        <f>ROUND(I630*H630,2)</f>
        <v>0</v>
      </c>
      <c r="K630" s="137"/>
    </row>
    <row r="631" spans="2:15" s="11" customFormat="1">
      <c r="B631" s="141"/>
      <c r="D631" s="142" t="s">
        <v>95</v>
      </c>
      <c r="E631" s="143" t="s">
        <v>2</v>
      </c>
      <c r="F631" s="144" t="s">
        <v>2510</v>
      </c>
      <c r="H631" s="145">
        <f>(1.92*2)*4</f>
        <v>15.36</v>
      </c>
      <c r="O631" s="1"/>
    </row>
    <row r="632" spans="2:15" s="11" customFormat="1">
      <c r="B632" s="141"/>
      <c r="D632" s="142" t="s">
        <v>95</v>
      </c>
      <c r="F632" s="144" t="s">
        <v>2509</v>
      </c>
      <c r="H632" s="145">
        <f>(2*2.305)*4</f>
        <v>18.440000000000001</v>
      </c>
      <c r="O632" s="1"/>
    </row>
    <row r="633" spans="2:15" s="12" customFormat="1">
      <c r="B633" s="146"/>
      <c r="D633" s="142" t="s">
        <v>95</v>
      </c>
      <c r="E633" s="147" t="s">
        <v>2</v>
      </c>
      <c r="F633" s="148" t="s">
        <v>96</v>
      </c>
      <c r="H633" s="149">
        <f>SUM(H631:H632)</f>
        <v>33.799999999999997</v>
      </c>
      <c r="O633" s="1"/>
    </row>
    <row r="634" spans="2:15" s="1" customFormat="1" ht="15.6" customHeight="1">
      <c r="B634" s="39"/>
      <c r="C634" s="150">
        <f>C630+1</f>
        <v>129</v>
      </c>
      <c r="D634" s="150" t="s">
        <v>123</v>
      </c>
      <c r="E634" s="151" t="s">
        <v>1108</v>
      </c>
      <c r="F634" s="152" t="s">
        <v>1107</v>
      </c>
      <c r="G634" s="153" t="s">
        <v>105</v>
      </c>
      <c r="H634" s="154">
        <f>H636</f>
        <v>9.2949999999999999</v>
      </c>
      <c r="I634" s="91"/>
      <c r="J634" s="155">
        <f>ROUND(I634*H634,2)</f>
        <v>0</v>
      </c>
      <c r="K634" s="152"/>
    </row>
    <row r="635" spans="2:15" s="11" customFormat="1">
      <c r="B635" s="141"/>
      <c r="D635" s="142" t="s">
        <v>95</v>
      </c>
      <c r="F635" s="144" t="s">
        <v>2511</v>
      </c>
      <c r="H635" s="145">
        <f>(33.8/4)*1.1</f>
        <v>9.2949999999999999</v>
      </c>
      <c r="O635" s="1"/>
    </row>
    <row r="636" spans="2:15" s="12" customFormat="1">
      <c r="B636" s="146"/>
      <c r="D636" s="142" t="s">
        <v>95</v>
      </c>
      <c r="E636" s="147" t="s">
        <v>2</v>
      </c>
      <c r="F636" s="148" t="s">
        <v>96</v>
      </c>
      <c r="H636" s="149">
        <f>SUM(H635:H635)</f>
        <v>9.2949999999999999</v>
      </c>
      <c r="O636" s="1"/>
    </row>
    <row r="637" spans="2:15" s="1" customFormat="1" ht="15.6" customHeight="1">
      <c r="B637" s="39"/>
      <c r="C637" s="150">
        <f>C634+1</f>
        <v>130</v>
      </c>
      <c r="D637" s="150" t="s">
        <v>123</v>
      </c>
      <c r="E637" s="151" t="s">
        <v>1109</v>
      </c>
      <c r="F637" s="152" t="s">
        <v>1110</v>
      </c>
      <c r="G637" s="153" t="s">
        <v>105</v>
      </c>
      <c r="H637" s="154">
        <f>H639</f>
        <v>18.59</v>
      </c>
      <c r="I637" s="91"/>
      <c r="J637" s="155">
        <f>ROUND(I637*H637,2)</f>
        <v>0</v>
      </c>
      <c r="K637" s="152"/>
    </row>
    <row r="638" spans="2:15" s="11" customFormat="1">
      <c r="B638" s="141"/>
      <c r="D638" s="142" t="s">
        <v>95</v>
      </c>
      <c r="F638" s="144" t="s">
        <v>2512</v>
      </c>
      <c r="H638" s="145">
        <f>(33.8/4)*2*1.1</f>
        <v>18.59</v>
      </c>
      <c r="O638" s="1"/>
    </row>
    <row r="639" spans="2:15" s="12" customFormat="1">
      <c r="B639" s="146"/>
      <c r="D639" s="142" t="s">
        <v>95</v>
      </c>
      <c r="E639" s="147" t="s">
        <v>2</v>
      </c>
      <c r="F639" s="148" t="s">
        <v>96</v>
      </c>
      <c r="H639" s="149">
        <f>SUM(H638:H638)</f>
        <v>18.59</v>
      </c>
      <c r="O639" s="1"/>
    </row>
    <row r="640" spans="2:15" s="1" customFormat="1" ht="15.6" customHeight="1">
      <c r="B640" s="39"/>
      <c r="C640" s="150">
        <f>C637+1</f>
        <v>131</v>
      </c>
      <c r="D640" s="150" t="s">
        <v>123</v>
      </c>
      <c r="E640" s="151" t="s">
        <v>1111</v>
      </c>
      <c r="F640" s="152" t="s">
        <v>1112</v>
      </c>
      <c r="G640" s="153" t="s">
        <v>105</v>
      </c>
      <c r="H640" s="154">
        <f>H642</f>
        <v>9.2949999999999999</v>
      </c>
      <c r="I640" s="91"/>
      <c r="J640" s="155">
        <f>ROUND(I640*H640,2)</f>
        <v>0</v>
      </c>
      <c r="K640" s="152"/>
    </row>
    <row r="641" spans="2:15" s="11" customFormat="1">
      <c r="B641" s="141"/>
      <c r="D641" s="142" t="s">
        <v>95</v>
      </c>
      <c r="F641" s="144" t="s">
        <v>2511</v>
      </c>
      <c r="H641" s="145">
        <f>(33.8/4)*1.1</f>
        <v>9.2949999999999999</v>
      </c>
      <c r="O641" s="1"/>
    </row>
    <row r="642" spans="2:15" s="12" customFormat="1">
      <c r="B642" s="146"/>
      <c r="D642" s="142" t="s">
        <v>95</v>
      </c>
      <c r="E642" s="147" t="s">
        <v>2</v>
      </c>
      <c r="F642" s="148" t="s">
        <v>96</v>
      </c>
      <c r="H642" s="149">
        <f>SUM(H641:H641)</f>
        <v>9.2949999999999999</v>
      </c>
      <c r="O642" s="1"/>
    </row>
    <row r="643" spans="2:15" s="1" customFormat="1" ht="22.5" customHeight="1">
      <c r="B643" s="39"/>
      <c r="C643" s="135">
        <f>C640+1</f>
        <v>132</v>
      </c>
      <c r="D643" s="135" t="s">
        <v>65</v>
      </c>
      <c r="E643" s="136" t="s">
        <v>1113</v>
      </c>
      <c r="F643" s="137" t="s">
        <v>1114</v>
      </c>
      <c r="G643" s="138" t="s">
        <v>105</v>
      </c>
      <c r="H643" s="139">
        <f>H645</f>
        <v>18.923999999999999</v>
      </c>
      <c r="I643" s="90"/>
      <c r="J643" s="140">
        <f>ROUND(I643*H643,2)</f>
        <v>0</v>
      </c>
      <c r="K643" s="137"/>
    </row>
    <row r="644" spans="2:15" s="11" customFormat="1">
      <c r="B644" s="141"/>
      <c r="D644" s="142" t="s">
        <v>95</v>
      </c>
      <c r="E644" s="143" t="s">
        <v>2</v>
      </c>
      <c r="F644" s="144" t="s">
        <v>2513</v>
      </c>
      <c r="H644" s="145">
        <f>(2.28*2.075)*4</f>
        <v>18.923999999999999</v>
      </c>
      <c r="O644" s="1"/>
    </row>
    <row r="645" spans="2:15" s="12" customFormat="1">
      <c r="B645" s="146"/>
      <c r="D645" s="142" t="s">
        <v>95</v>
      </c>
      <c r="E645" s="147" t="s">
        <v>2</v>
      </c>
      <c r="F645" s="148" t="s">
        <v>96</v>
      </c>
      <c r="H645" s="149">
        <f>SUM(H644:H644)</f>
        <v>18.923999999999999</v>
      </c>
      <c r="O645" s="1"/>
    </row>
    <row r="646" spans="2:15" s="1" customFormat="1" ht="22.5" customHeight="1">
      <c r="B646" s="39"/>
      <c r="C646" s="135">
        <f>C643+1</f>
        <v>133</v>
      </c>
      <c r="D646" s="135" t="s">
        <v>65</v>
      </c>
      <c r="E646" s="136" t="s">
        <v>1116</v>
      </c>
      <c r="F646" s="137" t="s">
        <v>1115</v>
      </c>
      <c r="G646" s="138" t="s">
        <v>261</v>
      </c>
      <c r="H646" s="139">
        <f>SUM(J630:J645)</f>
        <v>0</v>
      </c>
      <c r="I646" s="90"/>
      <c r="J646" s="140">
        <f>ROUND(I646%*H646,2)</f>
        <v>0</v>
      </c>
      <c r="K646" s="137"/>
    </row>
    <row r="647" spans="2:15" s="10" customFormat="1" ht="29.85" customHeight="1">
      <c r="B647" s="128"/>
      <c r="D647" s="129" t="s">
        <v>39</v>
      </c>
      <c r="E647" s="133" t="s">
        <v>213</v>
      </c>
      <c r="F647" s="133" t="s">
        <v>645</v>
      </c>
      <c r="J647" s="134">
        <f>SUM(J648:J713)</f>
        <v>0</v>
      </c>
      <c r="O647"/>
    </row>
    <row r="648" spans="2:15" s="1" customFormat="1" ht="22.9" customHeight="1">
      <c r="B648" s="39"/>
      <c r="C648" s="135">
        <f>C646+1</f>
        <v>134</v>
      </c>
      <c r="D648" s="135" t="s">
        <v>643</v>
      </c>
      <c r="E648" s="136" t="s">
        <v>1975</v>
      </c>
      <c r="F648" s="137" t="s">
        <v>780</v>
      </c>
      <c r="G648" s="138" t="s">
        <v>181</v>
      </c>
      <c r="H648" s="139">
        <v>1</v>
      </c>
      <c r="I648" s="90"/>
      <c r="J648" s="140">
        <f>ROUND(I648*H648,2)</f>
        <v>0</v>
      </c>
      <c r="K648" s="137"/>
    </row>
    <row r="649" spans="2:15" s="164" customFormat="1" ht="22.9" customHeight="1">
      <c r="B649" s="246"/>
      <c r="C649" s="247"/>
      <c r="D649" s="248"/>
      <c r="E649" s="248" t="s">
        <v>642</v>
      </c>
      <c r="F649" s="249" t="s">
        <v>644</v>
      </c>
      <c r="G649" s="250"/>
      <c r="H649" s="251"/>
      <c r="I649" s="252"/>
      <c r="J649" s="253"/>
      <c r="O649" s="309"/>
    </row>
    <row r="650" spans="2:15" s="163" customFormat="1" ht="22.9" customHeight="1">
      <c r="B650" s="254"/>
      <c r="C650" s="135">
        <f>C648+1</f>
        <v>135</v>
      </c>
      <c r="D650" s="258" t="s">
        <v>65</v>
      </c>
      <c r="E650" s="259" t="s">
        <v>646</v>
      </c>
      <c r="F650" s="255" t="s">
        <v>1117</v>
      </c>
      <c r="G650" s="256" t="s">
        <v>265</v>
      </c>
      <c r="H650" s="257">
        <v>1</v>
      </c>
      <c r="I650" s="90"/>
      <c r="J650" s="140">
        <f t="shared" ref="J650:J707" si="0">ROUND(I650*H650,2)</f>
        <v>0</v>
      </c>
      <c r="K650" s="137"/>
      <c r="O650" s="1"/>
    </row>
    <row r="651" spans="2:15" s="11" customFormat="1">
      <c r="B651" s="141"/>
      <c r="D651" s="142" t="s">
        <v>95</v>
      </c>
      <c r="E651" s="143" t="s">
        <v>2</v>
      </c>
      <c r="F651" s="144" t="s">
        <v>1126</v>
      </c>
      <c r="H651" s="145">
        <v>1</v>
      </c>
      <c r="O651" s="1"/>
    </row>
    <row r="652" spans="2:15" s="12" customFormat="1">
      <c r="B652" s="146"/>
      <c r="D652" s="142" t="s">
        <v>95</v>
      </c>
      <c r="E652" s="147" t="s">
        <v>2</v>
      </c>
      <c r="F652" s="148" t="s">
        <v>96</v>
      </c>
      <c r="H652" s="149">
        <f>SUM(H651:H651)</f>
        <v>1</v>
      </c>
      <c r="O652" s="1"/>
    </row>
    <row r="653" spans="2:15" s="1" customFormat="1" ht="22.5" customHeight="1">
      <c r="B653" s="39"/>
      <c r="C653" s="150">
        <f>C650+1</f>
        <v>136</v>
      </c>
      <c r="D653" s="150" t="s">
        <v>123</v>
      </c>
      <c r="E653" s="151" t="s">
        <v>1118</v>
      </c>
      <c r="F653" s="152" t="s">
        <v>1119</v>
      </c>
      <c r="G653" s="153" t="s">
        <v>105</v>
      </c>
      <c r="H653" s="154">
        <f>H655</f>
        <v>1</v>
      </c>
      <c r="I653" s="91"/>
      <c r="J653" s="155">
        <f>ROUND(I653*H653,2)</f>
        <v>0</v>
      </c>
      <c r="K653" s="152"/>
    </row>
    <row r="654" spans="2:15" s="11" customFormat="1">
      <c r="B654" s="141"/>
      <c r="D654" s="142" t="s">
        <v>95</v>
      </c>
      <c r="F654" s="144" t="s">
        <v>1126</v>
      </c>
      <c r="H654" s="145">
        <v>1</v>
      </c>
      <c r="O654" s="1"/>
    </row>
    <row r="655" spans="2:15" s="12" customFormat="1">
      <c r="B655" s="146"/>
      <c r="D655" s="142" t="s">
        <v>95</v>
      </c>
      <c r="E655" s="147" t="s">
        <v>2</v>
      </c>
      <c r="F655" s="148" t="s">
        <v>96</v>
      </c>
      <c r="H655" s="149">
        <f>SUM(H654:H654)</f>
        <v>1</v>
      </c>
      <c r="O655" s="1"/>
    </row>
    <row r="656" spans="2:15" s="163" customFormat="1" ht="22.9" customHeight="1">
      <c r="B656" s="254"/>
      <c r="C656" s="135">
        <f>C653+1</f>
        <v>137</v>
      </c>
      <c r="D656" s="258" t="s">
        <v>65</v>
      </c>
      <c r="E656" s="259" t="s">
        <v>92</v>
      </c>
      <c r="F656" s="255" t="s">
        <v>562</v>
      </c>
      <c r="G656" s="256" t="s">
        <v>94</v>
      </c>
      <c r="H656" s="257">
        <f>H659</f>
        <v>2.5084999999999997</v>
      </c>
      <c r="I656" s="90"/>
      <c r="J656" s="140">
        <f t="shared" si="0"/>
        <v>0</v>
      </c>
      <c r="K656" s="137"/>
      <c r="O656" s="1"/>
    </row>
    <row r="657" spans="2:15" s="11" customFormat="1">
      <c r="B657" s="141"/>
      <c r="D657" s="142" t="s">
        <v>95</v>
      </c>
      <c r="F657" s="144" t="s">
        <v>1127</v>
      </c>
      <c r="H657" s="145">
        <f>2.5*0.5*1</f>
        <v>1.25</v>
      </c>
      <c r="O657" s="1"/>
    </row>
    <row r="658" spans="2:15" s="11" customFormat="1">
      <c r="B658" s="141"/>
      <c r="D658" s="142" t="s">
        <v>95</v>
      </c>
      <c r="F658" s="144" t="s">
        <v>2514</v>
      </c>
      <c r="H658" s="145">
        <f>(0.385+0.636+1.496)*0.5*1</f>
        <v>1.2585</v>
      </c>
      <c r="O658" s="1"/>
    </row>
    <row r="659" spans="2:15" s="12" customFormat="1">
      <c r="B659" s="146"/>
      <c r="D659" s="142" t="s">
        <v>95</v>
      </c>
      <c r="E659" s="147" t="s">
        <v>2</v>
      </c>
      <c r="F659" s="148" t="s">
        <v>96</v>
      </c>
      <c r="H659" s="149">
        <f>SUM(H657:H658)</f>
        <v>2.5084999999999997</v>
      </c>
      <c r="O659" s="1"/>
    </row>
    <row r="660" spans="2:15" s="163" customFormat="1" ht="22.9" customHeight="1">
      <c r="B660" s="254"/>
      <c r="C660" s="135">
        <f>C656+1</f>
        <v>138</v>
      </c>
      <c r="D660" s="258" t="s">
        <v>65</v>
      </c>
      <c r="E660" s="259" t="s">
        <v>583</v>
      </c>
      <c r="F660" s="255" t="s">
        <v>563</v>
      </c>
      <c r="G660" s="256" t="s">
        <v>94</v>
      </c>
      <c r="H660" s="257">
        <f>H663</f>
        <v>0.75255000000000005</v>
      </c>
      <c r="I660" s="90"/>
      <c r="J660" s="140">
        <f t="shared" si="0"/>
        <v>0</v>
      </c>
      <c r="K660" s="137"/>
      <c r="O660" s="1"/>
    </row>
    <row r="661" spans="2:15" s="11" customFormat="1">
      <c r="B661" s="141"/>
      <c r="D661" s="142" t="s">
        <v>95</v>
      </c>
      <c r="F661" s="144" t="s">
        <v>1128</v>
      </c>
      <c r="H661" s="145">
        <f>2.5*0.5*0.3</f>
        <v>0.375</v>
      </c>
      <c r="O661" s="1"/>
    </row>
    <row r="662" spans="2:15" s="11" customFormat="1">
      <c r="B662" s="141"/>
      <c r="D662" s="142" t="s">
        <v>95</v>
      </c>
      <c r="F662" s="144" t="s">
        <v>2515</v>
      </c>
      <c r="H662" s="145">
        <f>(0.385+0.636+1.496)*0.5*0.3</f>
        <v>0.37755</v>
      </c>
      <c r="O662" s="1"/>
    </row>
    <row r="663" spans="2:15" s="12" customFormat="1">
      <c r="B663" s="146"/>
      <c r="D663" s="142" t="s">
        <v>95</v>
      </c>
      <c r="E663" s="147" t="s">
        <v>2</v>
      </c>
      <c r="F663" s="148" t="s">
        <v>96</v>
      </c>
      <c r="H663" s="149">
        <f>SUM(H661:H662)</f>
        <v>0.75255000000000005</v>
      </c>
      <c r="O663" s="1"/>
    </row>
    <row r="664" spans="2:15" s="163" customFormat="1" ht="22.9" customHeight="1">
      <c r="B664" s="254"/>
      <c r="C664" s="135">
        <f>C660+1</f>
        <v>139</v>
      </c>
      <c r="D664" s="258" t="s">
        <v>65</v>
      </c>
      <c r="E664" s="259" t="s">
        <v>652</v>
      </c>
      <c r="F664" s="255" t="s">
        <v>1120</v>
      </c>
      <c r="G664" s="256" t="s">
        <v>155</v>
      </c>
      <c r="H664" s="257">
        <f>H666</f>
        <v>2.5</v>
      </c>
      <c r="I664" s="90"/>
      <c r="J664" s="140">
        <f t="shared" ref="J664" si="1">ROUND(I664*H664,2)</f>
        <v>0</v>
      </c>
      <c r="K664" s="137"/>
      <c r="O664" s="1">
        <f>H664*0.1*0.1*1.975</f>
        <v>4.9375000000000002E-2</v>
      </c>
    </row>
    <row r="665" spans="2:15" s="11" customFormat="1">
      <c r="B665" s="141"/>
      <c r="D665" s="142" t="s">
        <v>95</v>
      </c>
      <c r="F665" s="144" t="s">
        <v>1129</v>
      </c>
      <c r="H665" s="145">
        <f>2.5</f>
        <v>2.5</v>
      </c>
      <c r="O665" s="1"/>
    </row>
    <row r="666" spans="2:15" s="12" customFormat="1">
      <c r="B666" s="146"/>
      <c r="D666" s="142" t="s">
        <v>95</v>
      </c>
      <c r="E666" s="147" t="s">
        <v>2</v>
      </c>
      <c r="F666" s="148" t="s">
        <v>96</v>
      </c>
      <c r="H666" s="149">
        <f>SUM(H665:H665)</f>
        <v>2.5</v>
      </c>
      <c r="O666" s="1"/>
    </row>
    <row r="667" spans="2:15" s="163" customFormat="1" ht="22.9" customHeight="1">
      <c r="B667" s="254"/>
      <c r="C667" s="135">
        <f>C664+1</f>
        <v>140</v>
      </c>
      <c r="D667" s="258" t="s">
        <v>65</v>
      </c>
      <c r="E667" s="259" t="s">
        <v>1121</v>
      </c>
      <c r="F667" s="255" t="s">
        <v>1122</v>
      </c>
      <c r="G667" s="256" t="s">
        <v>265</v>
      </c>
      <c r="H667" s="257">
        <f>H669</f>
        <v>3</v>
      </c>
      <c r="I667" s="90"/>
      <c r="J667" s="140">
        <f t="shared" ref="J667" si="2">ROUND(I667*H667,2)</f>
        <v>0</v>
      </c>
      <c r="K667" s="137"/>
      <c r="O667" s="1">
        <f>H667*0.09*0.3*1.975</f>
        <v>0.15997500000000001</v>
      </c>
    </row>
    <row r="668" spans="2:15" s="11" customFormat="1">
      <c r="B668" s="141"/>
      <c r="D668" s="142" t="s">
        <v>95</v>
      </c>
      <c r="F668" s="144" t="s">
        <v>1130</v>
      </c>
      <c r="H668" s="145">
        <f>3</f>
        <v>3</v>
      </c>
      <c r="O668" s="1"/>
    </row>
    <row r="669" spans="2:15" s="12" customFormat="1">
      <c r="B669" s="146"/>
      <c r="D669" s="142" t="s">
        <v>95</v>
      </c>
      <c r="E669" s="147" t="s">
        <v>2</v>
      </c>
      <c r="F669" s="148" t="s">
        <v>96</v>
      </c>
      <c r="H669" s="149">
        <f>SUM(H668:H668)</f>
        <v>3</v>
      </c>
      <c r="O669" s="1"/>
    </row>
    <row r="670" spans="2:15" s="163" customFormat="1" ht="22.9" customHeight="1">
      <c r="B670" s="254"/>
      <c r="C670" s="135">
        <f>C667+1</f>
        <v>141</v>
      </c>
      <c r="D670" s="258" t="s">
        <v>65</v>
      </c>
      <c r="E670" s="259" t="s">
        <v>654</v>
      </c>
      <c r="F670" s="255" t="s">
        <v>564</v>
      </c>
      <c r="G670" s="256" t="s">
        <v>155</v>
      </c>
      <c r="H670" s="257">
        <f>H672</f>
        <v>2.5</v>
      </c>
      <c r="I670" s="90"/>
      <c r="J670" s="140">
        <f t="shared" si="0"/>
        <v>0</v>
      </c>
      <c r="K670" s="137"/>
      <c r="O670" s="1"/>
    </row>
    <row r="671" spans="2:15" s="11" customFormat="1">
      <c r="B671" s="141"/>
      <c r="D671" s="142" t="s">
        <v>95</v>
      </c>
      <c r="F671" s="144" t="s">
        <v>1129</v>
      </c>
      <c r="H671" s="145">
        <f>2.5</f>
        <v>2.5</v>
      </c>
      <c r="O671" s="1"/>
    </row>
    <row r="672" spans="2:15" s="12" customFormat="1">
      <c r="B672" s="146"/>
      <c r="D672" s="142" t="s">
        <v>95</v>
      </c>
      <c r="E672" s="147" t="s">
        <v>2</v>
      </c>
      <c r="F672" s="148" t="s">
        <v>96</v>
      </c>
      <c r="H672" s="149">
        <f>SUM(H671:H671)</f>
        <v>2.5</v>
      </c>
      <c r="O672" s="1"/>
    </row>
    <row r="673" spans="2:15" s="163" customFormat="1" ht="22.9" customHeight="1">
      <c r="B673" s="254"/>
      <c r="C673" s="135">
        <f>C670+1</f>
        <v>142</v>
      </c>
      <c r="D673" s="258" t="s">
        <v>65</v>
      </c>
      <c r="E673" s="259" t="s">
        <v>650</v>
      </c>
      <c r="F673" s="255" t="s">
        <v>567</v>
      </c>
      <c r="G673" s="256" t="s">
        <v>101</v>
      </c>
      <c r="H673" s="257">
        <f>H675</f>
        <v>0.20899999999999999</v>
      </c>
      <c r="I673" s="90"/>
      <c r="J673" s="140">
        <f t="shared" si="0"/>
        <v>0</v>
      </c>
      <c r="K673" s="137"/>
      <c r="O673" s="1"/>
    </row>
    <row r="674" spans="2:15" s="11" customFormat="1">
      <c r="B674" s="141"/>
      <c r="D674" s="142" t="s">
        <v>95</v>
      </c>
      <c r="E674" s="143" t="s">
        <v>2</v>
      </c>
      <c r="F674" s="144" t="s">
        <v>1123</v>
      </c>
      <c r="H674" s="145">
        <f>FLOOR(SUM(O664:O669),0.001)</f>
        <v>0.20899999999999999</v>
      </c>
      <c r="O674" s="1"/>
    </row>
    <row r="675" spans="2:15" s="12" customFormat="1">
      <c r="B675" s="146"/>
      <c r="D675" s="142" t="s">
        <v>95</v>
      </c>
      <c r="E675" s="147" t="s">
        <v>2</v>
      </c>
      <c r="F675" s="148" t="s">
        <v>96</v>
      </c>
      <c r="H675" s="149">
        <f>SUM(H674:H674)</f>
        <v>0.20899999999999999</v>
      </c>
      <c r="O675" s="1"/>
    </row>
    <row r="676" spans="2:15" s="163" customFormat="1" ht="22.9" customHeight="1">
      <c r="B676" s="254"/>
      <c r="C676" s="135">
        <f>C673+1</f>
        <v>143</v>
      </c>
      <c r="D676" s="258" t="s">
        <v>65</v>
      </c>
      <c r="E676" s="259" t="s">
        <v>651</v>
      </c>
      <c r="F676" s="255" t="s">
        <v>568</v>
      </c>
      <c r="G676" s="256" t="s">
        <v>101</v>
      </c>
      <c r="H676" s="257">
        <f>H678</f>
        <v>1.0449999999999999</v>
      </c>
      <c r="I676" s="90"/>
      <c r="J676" s="140">
        <f t="shared" si="0"/>
        <v>0</v>
      </c>
      <c r="K676" s="137"/>
      <c r="O676" s="1"/>
    </row>
    <row r="677" spans="2:15" s="11" customFormat="1">
      <c r="B677" s="141"/>
      <c r="D677" s="142" t="s">
        <v>95</v>
      </c>
      <c r="E677" s="143" t="s">
        <v>2</v>
      </c>
      <c r="F677" s="144" t="s">
        <v>1124</v>
      </c>
      <c r="H677" s="145">
        <f>H675*5</f>
        <v>1.0449999999999999</v>
      </c>
      <c r="O677" s="1"/>
    </row>
    <row r="678" spans="2:15" s="12" customFormat="1">
      <c r="B678" s="146"/>
      <c r="D678" s="142" t="s">
        <v>95</v>
      </c>
      <c r="E678" s="147" t="s">
        <v>2</v>
      </c>
      <c r="F678" s="148" t="s">
        <v>96</v>
      </c>
      <c r="H678" s="149">
        <f>SUM(H677:H677)</f>
        <v>1.0449999999999999</v>
      </c>
      <c r="O678" s="1"/>
    </row>
    <row r="679" spans="2:15" s="163" customFormat="1" ht="22.9" customHeight="1">
      <c r="B679" s="254"/>
      <c r="C679" s="135">
        <f>C676+1</f>
        <v>144</v>
      </c>
      <c r="D679" s="258" t="s">
        <v>65</v>
      </c>
      <c r="E679" s="136" t="s">
        <v>647</v>
      </c>
      <c r="F679" s="255" t="s">
        <v>569</v>
      </c>
      <c r="G679" s="256" t="s">
        <v>101</v>
      </c>
      <c r="H679" s="257">
        <f>H681</f>
        <v>0.20899999999999999</v>
      </c>
      <c r="I679" s="90"/>
      <c r="J679" s="140">
        <f t="shared" si="0"/>
        <v>0</v>
      </c>
      <c r="K679" s="137"/>
      <c r="O679" s="1"/>
    </row>
    <row r="680" spans="2:15" s="11" customFormat="1">
      <c r="B680" s="141"/>
      <c r="D680" s="142" t="s">
        <v>95</v>
      </c>
      <c r="E680" s="143" t="s">
        <v>2</v>
      </c>
      <c r="F680" s="144" t="s">
        <v>1123</v>
      </c>
      <c r="H680" s="145">
        <f>H675</f>
        <v>0.20899999999999999</v>
      </c>
      <c r="O680" s="1"/>
    </row>
    <row r="681" spans="2:15" s="12" customFormat="1">
      <c r="B681" s="146"/>
      <c r="D681" s="142" t="s">
        <v>95</v>
      </c>
      <c r="E681" s="147" t="s">
        <v>2</v>
      </c>
      <c r="F681" s="148" t="s">
        <v>96</v>
      </c>
      <c r="H681" s="149">
        <f>SUM(H680:H680)</f>
        <v>0.20899999999999999</v>
      </c>
      <c r="O681" s="1"/>
    </row>
    <row r="682" spans="2:15" s="163" customFormat="1" ht="22.9" customHeight="1">
      <c r="B682" s="254"/>
      <c r="C682" s="135">
        <f>C679+1</f>
        <v>145</v>
      </c>
      <c r="D682" s="258" t="s">
        <v>65</v>
      </c>
      <c r="E682" s="259" t="s">
        <v>648</v>
      </c>
      <c r="F682" s="255" t="s">
        <v>570</v>
      </c>
      <c r="G682" s="256" t="s">
        <v>101</v>
      </c>
      <c r="H682" s="257">
        <f>H684</f>
        <v>3.9709999999999996</v>
      </c>
      <c r="I682" s="90"/>
      <c r="J682" s="140">
        <f t="shared" si="0"/>
        <v>0</v>
      </c>
      <c r="K682" s="137"/>
      <c r="O682" s="1"/>
    </row>
    <row r="683" spans="2:15" s="11" customFormat="1">
      <c r="B683" s="141"/>
      <c r="D683" s="142" t="s">
        <v>95</v>
      </c>
      <c r="E683" s="143" t="s">
        <v>2</v>
      </c>
      <c r="F683" s="144" t="s">
        <v>1125</v>
      </c>
      <c r="H683" s="145">
        <f>0.209*19</f>
        <v>3.9709999999999996</v>
      </c>
      <c r="O683" s="1"/>
    </row>
    <row r="684" spans="2:15" s="12" customFormat="1">
      <c r="B684" s="146"/>
      <c r="D684" s="142" t="s">
        <v>95</v>
      </c>
      <c r="E684" s="147" t="s">
        <v>2</v>
      </c>
      <c r="F684" s="148" t="s">
        <v>96</v>
      </c>
      <c r="H684" s="149">
        <f>SUM(H683:H683)</f>
        <v>3.9709999999999996</v>
      </c>
      <c r="O684" s="1"/>
    </row>
    <row r="685" spans="2:15" s="163" customFormat="1" ht="22.9" customHeight="1">
      <c r="B685" s="254"/>
      <c r="C685" s="135">
        <f>C682+1</f>
        <v>146</v>
      </c>
      <c r="D685" s="258" t="s">
        <v>65</v>
      </c>
      <c r="E685" s="136" t="s">
        <v>649</v>
      </c>
      <c r="F685" s="255" t="s">
        <v>571</v>
      </c>
      <c r="G685" s="256" t="s">
        <v>101</v>
      </c>
      <c r="H685" s="257">
        <f>H687</f>
        <v>0.20899999999999999</v>
      </c>
      <c r="I685" s="90"/>
      <c r="J685" s="140">
        <f t="shared" si="0"/>
        <v>0</v>
      </c>
      <c r="K685" s="137"/>
      <c r="O685" s="1"/>
    </row>
    <row r="686" spans="2:15" s="11" customFormat="1">
      <c r="B686" s="141"/>
      <c r="D686" s="142" t="s">
        <v>95</v>
      </c>
      <c r="E686" s="143" t="s">
        <v>2</v>
      </c>
      <c r="F686" s="144" t="s">
        <v>1123</v>
      </c>
      <c r="H686" s="145">
        <f>H680</f>
        <v>0.20899999999999999</v>
      </c>
      <c r="O686" s="1"/>
    </row>
    <row r="687" spans="2:15" s="12" customFormat="1">
      <c r="B687" s="146"/>
      <c r="D687" s="142" t="s">
        <v>95</v>
      </c>
      <c r="E687" s="147" t="s">
        <v>2</v>
      </c>
      <c r="F687" s="148" t="s">
        <v>96</v>
      </c>
      <c r="H687" s="149">
        <f>SUM(H686:H686)</f>
        <v>0.20899999999999999</v>
      </c>
      <c r="O687" s="1"/>
    </row>
    <row r="688" spans="2:15" s="164" customFormat="1" ht="22.9" customHeight="1">
      <c r="B688" s="246"/>
      <c r="C688" s="247"/>
      <c r="D688" s="248"/>
      <c r="E688" s="248" t="s">
        <v>662</v>
      </c>
      <c r="F688" s="260" t="s">
        <v>656</v>
      </c>
      <c r="G688" s="250"/>
      <c r="H688" s="251"/>
      <c r="I688" s="252"/>
      <c r="J688" s="253"/>
      <c r="O688" s="309"/>
    </row>
    <row r="689" spans="2:15" s="163" customFormat="1" ht="28.15" customHeight="1">
      <c r="B689" s="254"/>
      <c r="C689" s="135">
        <f>C685+1</f>
        <v>147</v>
      </c>
      <c r="D689" s="258" t="s">
        <v>65</v>
      </c>
      <c r="E689" s="136" t="s">
        <v>1166</v>
      </c>
      <c r="F689" s="255" t="s">
        <v>1165</v>
      </c>
      <c r="G689" s="256" t="s">
        <v>155</v>
      </c>
      <c r="H689" s="257">
        <f>H691</f>
        <v>2.5</v>
      </c>
      <c r="I689" s="90"/>
      <c r="J689" s="140">
        <f t="shared" si="0"/>
        <v>0</v>
      </c>
      <c r="K689" s="137"/>
      <c r="O689" s="1"/>
    </row>
    <row r="690" spans="2:15" s="11" customFormat="1">
      <c r="B690" s="141"/>
      <c r="D690" s="142" t="s">
        <v>95</v>
      </c>
      <c r="F690" s="144" t="s">
        <v>1129</v>
      </c>
      <c r="H690" s="145">
        <f>2.5</f>
        <v>2.5</v>
      </c>
      <c r="O690" s="1"/>
    </row>
    <row r="691" spans="2:15" s="12" customFormat="1">
      <c r="B691" s="146"/>
      <c r="D691" s="142" t="s">
        <v>95</v>
      </c>
      <c r="E691" s="147" t="s">
        <v>2</v>
      </c>
      <c r="F691" s="148" t="s">
        <v>96</v>
      </c>
      <c r="H691" s="149">
        <f>SUM(H690:H690)</f>
        <v>2.5</v>
      </c>
      <c r="O691" s="1"/>
    </row>
    <row r="692" spans="2:15" s="163" customFormat="1" ht="22.9" customHeight="1">
      <c r="B692" s="254"/>
      <c r="C692" s="135">
        <f>C689+1</f>
        <v>148</v>
      </c>
      <c r="D692" s="258" t="s">
        <v>65</v>
      </c>
      <c r="E692" s="259" t="s">
        <v>1976</v>
      </c>
      <c r="F692" s="255" t="s">
        <v>1167</v>
      </c>
      <c r="G692" s="256" t="s">
        <v>265</v>
      </c>
      <c r="H692" s="257">
        <f>H694</f>
        <v>1</v>
      </c>
      <c r="I692" s="90"/>
      <c r="J692" s="140">
        <f t="shared" si="0"/>
        <v>0</v>
      </c>
      <c r="K692" s="137"/>
      <c r="O692" s="1"/>
    </row>
    <row r="693" spans="2:15" s="11" customFormat="1">
      <c r="B693" s="141"/>
      <c r="D693" s="142" t="s">
        <v>95</v>
      </c>
      <c r="F693" s="144" t="s">
        <v>1133</v>
      </c>
      <c r="H693" s="145">
        <f>1</f>
        <v>1</v>
      </c>
      <c r="O693" s="1"/>
    </row>
    <row r="694" spans="2:15" s="12" customFormat="1">
      <c r="B694" s="146"/>
      <c r="D694" s="142" t="s">
        <v>95</v>
      </c>
      <c r="E694" s="147" t="s">
        <v>2</v>
      </c>
      <c r="F694" s="148" t="s">
        <v>96</v>
      </c>
      <c r="H694" s="149">
        <f>SUM(H693:H693)</f>
        <v>1</v>
      </c>
      <c r="O694" s="1"/>
    </row>
    <row r="695" spans="2:15" s="163" customFormat="1" ht="28.9" customHeight="1">
      <c r="B695" s="254"/>
      <c r="C695" s="135">
        <f>C692+1</f>
        <v>149</v>
      </c>
      <c r="D695" s="258" t="s">
        <v>65</v>
      </c>
      <c r="E695" s="259" t="s">
        <v>1977</v>
      </c>
      <c r="F695" s="255" t="s">
        <v>1131</v>
      </c>
      <c r="G695" s="256" t="s">
        <v>265</v>
      </c>
      <c r="H695" s="257">
        <f>H697</f>
        <v>1</v>
      </c>
      <c r="I695" s="90"/>
      <c r="J695" s="140">
        <f t="shared" si="0"/>
        <v>0</v>
      </c>
      <c r="K695" s="137"/>
      <c r="O695" s="1"/>
    </row>
    <row r="696" spans="2:15" s="11" customFormat="1">
      <c r="B696" s="141"/>
      <c r="D696" s="142" t="s">
        <v>95</v>
      </c>
      <c r="F696" s="144" t="s">
        <v>1133</v>
      </c>
      <c r="H696" s="145">
        <f>1</f>
        <v>1</v>
      </c>
      <c r="O696" s="1"/>
    </row>
    <row r="697" spans="2:15" s="12" customFormat="1">
      <c r="B697" s="146"/>
      <c r="D697" s="142" t="s">
        <v>95</v>
      </c>
      <c r="E697" s="147" t="s">
        <v>2</v>
      </c>
      <c r="F697" s="148" t="s">
        <v>96</v>
      </c>
      <c r="H697" s="149">
        <f>SUM(H696:H696)</f>
        <v>1</v>
      </c>
      <c r="O697" s="1"/>
    </row>
    <row r="698" spans="2:15" s="163" customFormat="1" ht="28.9" customHeight="1">
      <c r="B698" s="254"/>
      <c r="C698" s="150">
        <f>C695+1</f>
        <v>150</v>
      </c>
      <c r="D698" s="150" t="s">
        <v>123</v>
      </c>
      <c r="E698" s="151" t="s">
        <v>1978</v>
      </c>
      <c r="F698" s="319" t="s">
        <v>1132</v>
      </c>
      <c r="G698" s="320" t="s">
        <v>265</v>
      </c>
      <c r="H698" s="321">
        <f>H700</f>
        <v>1</v>
      </c>
      <c r="I698" s="91"/>
      <c r="J698" s="155">
        <f t="shared" ref="J698" si="3">ROUND(I698*H698,2)</f>
        <v>0</v>
      </c>
      <c r="K698" s="152"/>
      <c r="O698" s="1"/>
    </row>
    <row r="699" spans="2:15" s="11" customFormat="1">
      <c r="B699" s="141"/>
      <c r="D699" s="142" t="s">
        <v>95</v>
      </c>
      <c r="F699" s="144" t="s">
        <v>1133</v>
      </c>
      <c r="H699" s="145">
        <f>1</f>
        <v>1</v>
      </c>
      <c r="O699" s="1"/>
    </row>
    <row r="700" spans="2:15" s="12" customFormat="1">
      <c r="B700" s="146"/>
      <c r="D700" s="142" t="s">
        <v>95</v>
      </c>
      <c r="E700" s="147" t="s">
        <v>2</v>
      </c>
      <c r="F700" s="148" t="s">
        <v>96</v>
      </c>
      <c r="H700" s="149">
        <f>SUM(H699:H699)</f>
        <v>1</v>
      </c>
      <c r="O700" s="1"/>
    </row>
    <row r="701" spans="2:15" s="163" customFormat="1" ht="28.15" customHeight="1">
      <c r="B701" s="254"/>
      <c r="C701" s="135">
        <f>C698+1</f>
        <v>151</v>
      </c>
      <c r="D701" s="258" t="s">
        <v>65</v>
      </c>
      <c r="E701" s="136" t="s">
        <v>2516</v>
      </c>
      <c r="F701" s="255" t="s">
        <v>2517</v>
      </c>
      <c r="G701" s="256" t="s">
        <v>155</v>
      </c>
      <c r="H701" s="257">
        <f>H703</f>
        <v>2.5169999999999999</v>
      </c>
      <c r="I701" s="90"/>
      <c r="J701" s="140">
        <f t="shared" ref="J701" si="4">ROUND(I701*H701,2)</f>
        <v>0</v>
      </c>
      <c r="K701" s="137"/>
      <c r="O701" s="1"/>
    </row>
    <row r="702" spans="2:15" s="11" customFormat="1">
      <c r="B702" s="141"/>
      <c r="D702" s="142" t="s">
        <v>95</v>
      </c>
      <c r="F702" s="144" t="s">
        <v>2518</v>
      </c>
      <c r="H702" s="145">
        <f>(0.385+0.636+1.496)</f>
        <v>2.5169999999999999</v>
      </c>
      <c r="O702" s="1"/>
    </row>
    <row r="703" spans="2:15" s="12" customFormat="1">
      <c r="B703" s="146"/>
      <c r="D703" s="142" t="s">
        <v>95</v>
      </c>
      <c r="E703" s="147" t="s">
        <v>2</v>
      </c>
      <c r="F703" s="148" t="s">
        <v>96</v>
      </c>
      <c r="H703" s="149">
        <f>SUM(H702:H702)</f>
        <v>2.5169999999999999</v>
      </c>
      <c r="O703" s="1"/>
    </row>
    <row r="704" spans="2:15" s="163" customFormat="1" ht="28.15" customHeight="1">
      <c r="B704" s="254"/>
      <c r="C704" s="135">
        <f>C701+1</f>
        <v>152</v>
      </c>
      <c r="D704" s="258" t="s">
        <v>65</v>
      </c>
      <c r="E704" s="136" t="s">
        <v>2519</v>
      </c>
      <c r="F704" s="255" t="s">
        <v>2521</v>
      </c>
      <c r="G704" s="256" t="s">
        <v>265</v>
      </c>
      <c r="H704" s="257">
        <f>H706</f>
        <v>1</v>
      </c>
      <c r="I704" s="90"/>
      <c r="J704" s="140">
        <f t="shared" ref="J704" si="5">ROUND(I704*H704,2)</f>
        <v>0</v>
      </c>
      <c r="K704" s="137"/>
      <c r="O704" s="1"/>
    </row>
    <row r="705" spans="2:15" s="11" customFormat="1">
      <c r="B705" s="141"/>
      <c r="D705" s="142" t="s">
        <v>95</v>
      </c>
      <c r="F705" s="144" t="s">
        <v>2520</v>
      </c>
      <c r="H705" s="145">
        <v>1</v>
      </c>
      <c r="O705" s="1"/>
    </row>
    <row r="706" spans="2:15" s="12" customFormat="1">
      <c r="B706" s="146"/>
      <c r="D706" s="142" t="s">
        <v>95</v>
      </c>
      <c r="E706" s="147" t="s">
        <v>2</v>
      </c>
      <c r="F706" s="148" t="s">
        <v>96</v>
      </c>
      <c r="H706" s="149">
        <f>SUM(H705:H705)</f>
        <v>1</v>
      </c>
      <c r="O706" s="1"/>
    </row>
    <row r="707" spans="2:15" s="163" customFormat="1" ht="22.9" customHeight="1">
      <c r="B707" s="254"/>
      <c r="C707" s="135">
        <f>C704+1</f>
        <v>153</v>
      </c>
      <c r="D707" s="258" t="s">
        <v>65</v>
      </c>
      <c r="E707" s="259" t="s">
        <v>1979</v>
      </c>
      <c r="F707" s="255" t="s">
        <v>1168</v>
      </c>
      <c r="G707" s="256" t="s">
        <v>155</v>
      </c>
      <c r="H707" s="257">
        <f>H711</f>
        <v>6.0169999999999995</v>
      </c>
      <c r="I707" s="90"/>
      <c r="J707" s="140">
        <f t="shared" si="0"/>
        <v>0</v>
      </c>
      <c r="K707" s="137"/>
      <c r="O707" s="1"/>
    </row>
    <row r="708" spans="2:15" s="11" customFormat="1">
      <c r="B708" s="141"/>
      <c r="D708" s="142" t="s">
        <v>95</v>
      </c>
      <c r="F708" s="144" t="s">
        <v>1129</v>
      </c>
      <c r="H708" s="145">
        <f>2.5</f>
        <v>2.5</v>
      </c>
      <c r="O708" s="1"/>
    </row>
    <row r="709" spans="2:15" s="11" customFormat="1">
      <c r="B709" s="141"/>
      <c r="D709" s="142" t="s">
        <v>95</v>
      </c>
      <c r="F709" s="144" t="s">
        <v>1133</v>
      </c>
      <c r="H709" s="145">
        <f>1</f>
        <v>1</v>
      </c>
      <c r="O709" s="1"/>
    </row>
    <row r="710" spans="2:15" s="11" customFormat="1">
      <c r="B710" s="141"/>
      <c r="D710" s="142" t="s">
        <v>95</v>
      </c>
      <c r="F710" s="144" t="s">
        <v>2518</v>
      </c>
      <c r="H710" s="145">
        <f>(0.385+0.636+1.496)</f>
        <v>2.5169999999999999</v>
      </c>
      <c r="O710" s="1"/>
    </row>
    <row r="711" spans="2:15" s="12" customFormat="1">
      <c r="B711" s="146"/>
      <c r="D711" s="142" t="s">
        <v>95</v>
      </c>
      <c r="E711" s="147" t="s">
        <v>2</v>
      </c>
      <c r="F711" s="148" t="s">
        <v>96</v>
      </c>
      <c r="H711" s="149">
        <f>SUM(H708:H710)</f>
        <v>6.0169999999999995</v>
      </c>
      <c r="O711" s="1"/>
    </row>
    <row r="712" spans="2:15" s="163" customFormat="1" ht="27">
      <c r="B712" s="254"/>
      <c r="C712" s="135">
        <f>C707+1</f>
        <v>154</v>
      </c>
      <c r="D712" s="258" t="s">
        <v>65</v>
      </c>
      <c r="E712" s="259" t="s">
        <v>1973</v>
      </c>
      <c r="F712" s="255" t="s">
        <v>1980</v>
      </c>
      <c r="G712" s="256" t="s">
        <v>261</v>
      </c>
      <c r="H712" s="261">
        <f>SUM(J689:J711)</f>
        <v>0</v>
      </c>
      <c r="I712" s="280"/>
      <c r="J712" s="140">
        <f>ROUND(I712%*H712,2)</f>
        <v>0</v>
      </c>
      <c r="K712" s="137"/>
      <c r="O712" s="1"/>
    </row>
    <row r="713" spans="2:15" s="163" customFormat="1" ht="22.9" customHeight="1">
      <c r="B713" s="254"/>
      <c r="C713" s="135">
        <f t="shared" ref="C713" si="6">C712+1</f>
        <v>155</v>
      </c>
      <c r="D713" s="258" t="s">
        <v>65</v>
      </c>
      <c r="E713" s="259" t="s">
        <v>1972</v>
      </c>
      <c r="F713" s="255" t="s">
        <v>1657</v>
      </c>
      <c r="G713" s="256" t="s">
        <v>261</v>
      </c>
      <c r="H713" s="261">
        <f>SUM(J689:J712)</f>
        <v>0</v>
      </c>
      <c r="I713" s="280"/>
      <c r="J713" s="140">
        <f>ROUND(I713%*H713,2)</f>
        <v>0</v>
      </c>
      <c r="K713" s="137"/>
      <c r="O713" s="1"/>
    </row>
    <row r="714" spans="2:15" s="10" customFormat="1" ht="29.85" customHeight="1">
      <c r="B714" s="128"/>
      <c r="D714" s="129" t="s">
        <v>39</v>
      </c>
      <c r="E714" s="133" t="s">
        <v>214</v>
      </c>
      <c r="F714" s="133" t="s">
        <v>671</v>
      </c>
      <c r="J714" s="134">
        <v>0</v>
      </c>
      <c r="O714"/>
    </row>
    <row r="715" spans="2:15" s="10" customFormat="1" ht="29.85" customHeight="1">
      <c r="B715" s="128"/>
      <c r="D715" s="129" t="s">
        <v>39</v>
      </c>
      <c r="E715" s="133" t="s">
        <v>215</v>
      </c>
      <c r="F715" s="133" t="s">
        <v>771</v>
      </c>
      <c r="J715" s="134">
        <f>SUM(J716:J1016)</f>
        <v>0</v>
      </c>
      <c r="O715"/>
    </row>
    <row r="716" spans="2:15" s="1" customFormat="1" ht="22.9" customHeight="1">
      <c r="B716" s="39"/>
      <c r="C716" s="135">
        <f>C713+1</f>
        <v>156</v>
      </c>
      <c r="D716" s="135" t="s">
        <v>643</v>
      </c>
      <c r="E716" s="136" t="s">
        <v>1251</v>
      </c>
      <c r="F716" s="137" t="s">
        <v>782</v>
      </c>
      <c r="G716" s="138" t="s">
        <v>66</v>
      </c>
      <c r="H716" s="139">
        <f>H718</f>
        <v>1</v>
      </c>
      <c r="I716" s="90"/>
      <c r="J716" s="140">
        <f>ROUND(I716*H716,2)</f>
        <v>0</v>
      </c>
      <c r="K716" s="137"/>
    </row>
    <row r="717" spans="2:15" s="11" customFormat="1">
      <c r="B717" s="141"/>
      <c r="D717" s="142" t="s">
        <v>95</v>
      </c>
      <c r="F717" s="144" t="s">
        <v>1134</v>
      </c>
      <c r="H717" s="145">
        <f>1</f>
        <v>1</v>
      </c>
      <c r="O717" s="1"/>
    </row>
    <row r="718" spans="2:15" s="12" customFormat="1">
      <c r="B718" s="146"/>
      <c r="D718" s="142" t="s">
        <v>95</v>
      </c>
      <c r="E718" s="147" t="s">
        <v>2</v>
      </c>
      <c r="F718" s="148" t="s">
        <v>96</v>
      </c>
      <c r="H718" s="149">
        <f>SUM(H717:H717)</f>
        <v>1</v>
      </c>
      <c r="O718" s="1"/>
    </row>
    <row r="719" spans="2:15" s="1" customFormat="1" ht="22.9" customHeight="1">
      <c r="B719" s="39"/>
      <c r="C719" s="135">
        <f>C716+1</f>
        <v>157</v>
      </c>
      <c r="D719" s="135" t="s">
        <v>643</v>
      </c>
      <c r="E719" s="136" t="s">
        <v>1252</v>
      </c>
      <c r="F719" s="137" t="s">
        <v>1898</v>
      </c>
      <c r="G719" s="138" t="s">
        <v>261</v>
      </c>
      <c r="H719" s="139">
        <f>SUM(J729:J1016)</f>
        <v>0</v>
      </c>
      <c r="I719" s="90"/>
      <c r="J719" s="140">
        <f>ROUND(I719%*H719,2)</f>
        <v>0</v>
      </c>
      <c r="K719" s="137"/>
    </row>
    <row r="720" spans="2:15" s="163" customFormat="1" ht="22.9" customHeight="1">
      <c r="B720" s="254"/>
      <c r="C720" s="135">
        <f>C719+1</f>
        <v>158</v>
      </c>
      <c r="D720" s="258" t="s">
        <v>643</v>
      </c>
      <c r="E720" s="136" t="s">
        <v>1253</v>
      </c>
      <c r="F720" s="255" t="s">
        <v>1249</v>
      </c>
      <c r="G720" s="256" t="s">
        <v>181</v>
      </c>
      <c r="H720" s="257">
        <f>H722</f>
        <v>1</v>
      </c>
      <c r="I720" s="90"/>
      <c r="J720" s="140">
        <f t="shared" ref="J720" si="7">ROUND(I720*H720,2)</f>
        <v>0</v>
      </c>
      <c r="K720" s="137"/>
      <c r="O720" s="1"/>
    </row>
    <row r="721" spans="2:15" s="11" customFormat="1">
      <c r="B721" s="141"/>
      <c r="D721" s="142" t="s">
        <v>95</v>
      </c>
      <c r="F721" s="144" t="s">
        <v>1250</v>
      </c>
      <c r="H721" s="145">
        <f>1</f>
        <v>1</v>
      </c>
      <c r="O721" s="1"/>
    </row>
    <row r="722" spans="2:15" s="12" customFormat="1">
      <c r="B722" s="146"/>
      <c r="D722" s="142" t="s">
        <v>95</v>
      </c>
      <c r="E722" s="147" t="s">
        <v>2</v>
      </c>
      <c r="F722" s="148" t="s">
        <v>96</v>
      </c>
      <c r="H722" s="149">
        <f>SUM(H721:H721)</f>
        <v>1</v>
      </c>
      <c r="O722" s="1"/>
    </row>
    <row r="723" spans="2:15" s="1" customFormat="1" ht="22.9" customHeight="1">
      <c r="B723" s="39"/>
      <c r="C723" s="135">
        <f>C720+1</f>
        <v>159</v>
      </c>
      <c r="D723" s="135" t="s">
        <v>643</v>
      </c>
      <c r="E723" s="136" t="s">
        <v>1254</v>
      </c>
      <c r="F723" s="137" t="s">
        <v>676</v>
      </c>
      <c r="G723" s="138" t="s">
        <v>523</v>
      </c>
      <c r="H723" s="139">
        <f>H725</f>
        <v>10</v>
      </c>
      <c r="I723" s="90"/>
      <c r="J723" s="140">
        <f>ROUND(I723*H723,2)</f>
        <v>0</v>
      </c>
      <c r="K723" s="137"/>
    </row>
    <row r="724" spans="2:15" s="11" customFormat="1">
      <c r="B724" s="141"/>
      <c r="D724" s="142" t="s">
        <v>95</v>
      </c>
      <c r="F724" s="144" t="s">
        <v>1135</v>
      </c>
      <c r="H724" s="145">
        <f>10</f>
        <v>10</v>
      </c>
      <c r="O724" s="1"/>
    </row>
    <row r="725" spans="2:15" s="12" customFormat="1">
      <c r="B725" s="146"/>
      <c r="D725" s="142" t="s">
        <v>95</v>
      </c>
      <c r="E725" s="147" t="s">
        <v>2</v>
      </c>
      <c r="F725" s="148" t="s">
        <v>96</v>
      </c>
      <c r="H725" s="149">
        <f>SUM(H724:H724)</f>
        <v>10</v>
      </c>
      <c r="O725" s="1"/>
    </row>
    <row r="726" spans="2:15" s="165" customFormat="1" ht="22.9" customHeight="1">
      <c r="B726" s="262"/>
      <c r="C726" s="150">
        <f>C723+1</f>
        <v>160</v>
      </c>
      <c r="D726" s="150" t="s">
        <v>123</v>
      </c>
      <c r="E726" s="151" t="s">
        <v>1897</v>
      </c>
      <c r="F726" s="152" t="s">
        <v>677</v>
      </c>
      <c r="G726" s="153" t="s">
        <v>181</v>
      </c>
      <c r="H726" s="154">
        <f>H728</f>
        <v>1</v>
      </c>
      <c r="I726" s="91"/>
      <c r="J726" s="155">
        <f>ROUND(I726*H726,2)</f>
        <v>0</v>
      </c>
      <c r="K726" s="152"/>
      <c r="O726" s="310"/>
    </row>
    <row r="727" spans="2:15" s="11" customFormat="1">
      <c r="B727" s="141"/>
      <c r="D727" s="142" t="s">
        <v>95</v>
      </c>
      <c r="F727" s="144" t="s">
        <v>1134</v>
      </c>
      <c r="H727" s="145">
        <f>1</f>
        <v>1</v>
      </c>
      <c r="O727" s="1"/>
    </row>
    <row r="728" spans="2:15" s="12" customFormat="1">
      <c r="B728" s="146"/>
      <c r="D728" s="142" t="s">
        <v>95</v>
      </c>
      <c r="E728" s="147" t="s">
        <v>2</v>
      </c>
      <c r="F728" s="148" t="s">
        <v>96</v>
      </c>
      <c r="H728" s="149">
        <f>SUM(H727:H727)</f>
        <v>1</v>
      </c>
      <c r="O728" s="1"/>
    </row>
    <row r="729" spans="2:15" s="10" customFormat="1" ht="29.85" customHeight="1">
      <c r="B729" s="128"/>
      <c r="D729" s="129"/>
      <c r="E729" s="322" t="s">
        <v>678</v>
      </c>
      <c r="F729" s="133" t="s">
        <v>1136</v>
      </c>
      <c r="G729" s="132"/>
      <c r="J729" s="134"/>
      <c r="O729"/>
    </row>
    <row r="730" spans="2:15" s="165" customFormat="1" ht="22.9" customHeight="1">
      <c r="B730" s="262"/>
      <c r="C730" s="150">
        <f>C726+1</f>
        <v>161</v>
      </c>
      <c r="D730" s="150" t="s">
        <v>123</v>
      </c>
      <c r="E730" s="151" t="s">
        <v>679</v>
      </c>
      <c r="F730" s="323" t="s">
        <v>2522</v>
      </c>
      <c r="G730" s="150" t="s">
        <v>181</v>
      </c>
      <c r="H730" s="324">
        <f>H732</f>
        <v>1</v>
      </c>
      <c r="I730" s="91"/>
      <c r="J730" s="155">
        <f t="shared" ref="J730:J733" si="8">ROUND(I730*H730,2)</f>
        <v>0</v>
      </c>
      <c r="K730" s="152"/>
      <c r="O730" s="310"/>
    </row>
    <row r="731" spans="2:15" s="11" customFormat="1">
      <c r="B731" s="141"/>
      <c r="D731" s="142" t="s">
        <v>95</v>
      </c>
      <c r="F731" s="144" t="s">
        <v>1134</v>
      </c>
      <c r="H731" s="145">
        <f>1</f>
        <v>1</v>
      </c>
      <c r="O731" s="1"/>
    </row>
    <row r="732" spans="2:15" s="12" customFormat="1">
      <c r="B732" s="146"/>
      <c r="D732" s="142" t="s">
        <v>95</v>
      </c>
      <c r="E732" s="147" t="s">
        <v>2</v>
      </c>
      <c r="F732" s="148" t="s">
        <v>96</v>
      </c>
      <c r="H732" s="149">
        <f>SUM(H731:H731)</f>
        <v>1</v>
      </c>
      <c r="O732" s="1"/>
    </row>
    <row r="733" spans="2:15" s="165" customFormat="1" ht="22.9" customHeight="1">
      <c r="B733" s="262"/>
      <c r="C733" s="150">
        <f>C730+1</f>
        <v>162</v>
      </c>
      <c r="D733" s="150" t="s">
        <v>123</v>
      </c>
      <c r="E733" s="151" t="s">
        <v>680</v>
      </c>
      <c r="F733" s="323" t="s">
        <v>1138</v>
      </c>
      <c r="G733" s="150" t="s">
        <v>155</v>
      </c>
      <c r="H733" s="324">
        <f>H735</f>
        <v>6.5</v>
      </c>
      <c r="I733" s="91"/>
      <c r="J733" s="155">
        <f t="shared" si="8"/>
        <v>0</v>
      </c>
      <c r="K733" s="152"/>
      <c r="O733" s="310"/>
    </row>
    <row r="734" spans="2:15" s="11" customFormat="1">
      <c r="B734" s="141"/>
      <c r="D734" s="142" t="s">
        <v>95</v>
      </c>
      <c r="F734" s="144" t="s">
        <v>1139</v>
      </c>
      <c r="H734" s="145">
        <f>6.5</f>
        <v>6.5</v>
      </c>
      <c r="O734" s="1"/>
    </row>
    <row r="735" spans="2:15" s="12" customFormat="1">
      <c r="B735" s="146"/>
      <c r="D735" s="142" t="s">
        <v>95</v>
      </c>
      <c r="E735" s="147" t="s">
        <v>2</v>
      </c>
      <c r="F735" s="148" t="s">
        <v>96</v>
      </c>
      <c r="H735" s="149">
        <f>SUM(H734:H734)</f>
        <v>6.5</v>
      </c>
      <c r="O735" s="1"/>
    </row>
    <row r="736" spans="2:15" s="165" customFormat="1" ht="22.9" customHeight="1">
      <c r="B736" s="262"/>
      <c r="C736" s="150">
        <f>C733+1</f>
        <v>163</v>
      </c>
      <c r="D736" s="150" t="s">
        <v>123</v>
      </c>
      <c r="E736" s="151" t="s">
        <v>682</v>
      </c>
      <c r="F736" s="323" t="s">
        <v>1158</v>
      </c>
      <c r="G736" s="150" t="s">
        <v>155</v>
      </c>
      <c r="H736" s="324">
        <f>H738</f>
        <v>6.5</v>
      </c>
      <c r="I736" s="91"/>
      <c r="J736" s="155">
        <f t="shared" ref="J736" si="9">ROUND(I736*H736,2)</f>
        <v>0</v>
      </c>
      <c r="K736" s="152"/>
      <c r="O736" s="310"/>
    </row>
    <row r="737" spans="2:15" s="11" customFormat="1">
      <c r="B737" s="141"/>
      <c r="D737" s="142" t="s">
        <v>95</v>
      </c>
      <c r="F737" s="144" t="s">
        <v>1139</v>
      </c>
      <c r="H737" s="145">
        <f>6.5</f>
        <v>6.5</v>
      </c>
      <c r="O737" s="1"/>
    </row>
    <row r="738" spans="2:15" s="12" customFormat="1">
      <c r="B738" s="146"/>
      <c r="D738" s="142" t="s">
        <v>95</v>
      </c>
      <c r="E738" s="147" t="s">
        <v>2</v>
      </c>
      <c r="F738" s="148" t="s">
        <v>96</v>
      </c>
      <c r="H738" s="149">
        <f>SUM(H737:H737)</f>
        <v>6.5</v>
      </c>
      <c r="O738" s="1"/>
    </row>
    <row r="739" spans="2:15" s="165" customFormat="1" ht="22.9" customHeight="1">
      <c r="B739" s="262"/>
      <c r="C739" s="150">
        <f>C736+1</f>
        <v>164</v>
      </c>
      <c r="D739" s="150" t="s">
        <v>123</v>
      </c>
      <c r="E739" s="151" t="s">
        <v>683</v>
      </c>
      <c r="F739" s="323" t="s">
        <v>1140</v>
      </c>
      <c r="G739" s="150" t="s">
        <v>155</v>
      </c>
      <c r="H739" s="324">
        <f>H741</f>
        <v>6.5</v>
      </c>
      <c r="I739" s="91"/>
      <c r="J739" s="155">
        <f t="shared" ref="J739" si="10">ROUND(I739*H739,2)</f>
        <v>0</v>
      </c>
      <c r="K739" s="152"/>
      <c r="O739" s="310"/>
    </row>
    <row r="740" spans="2:15" s="11" customFormat="1">
      <c r="B740" s="141"/>
      <c r="D740" s="142" t="s">
        <v>95</v>
      </c>
      <c r="F740" s="144" t="s">
        <v>1139</v>
      </c>
      <c r="H740" s="145">
        <f>6.5</f>
        <v>6.5</v>
      </c>
      <c r="O740" s="1"/>
    </row>
    <row r="741" spans="2:15" s="12" customFormat="1">
      <c r="B741" s="146"/>
      <c r="D741" s="142" t="s">
        <v>95</v>
      </c>
      <c r="E741" s="147" t="s">
        <v>2</v>
      </c>
      <c r="F741" s="148" t="s">
        <v>96</v>
      </c>
      <c r="H741" s="149">
        <f>SUM(H740:H740)</f>
        <v>6.5</v>
      </c>
      <c r="O741" s="1"/>
    </row>
    <row r="742" spans="2:15" s="165" customFormat="1" ht="22.9" customHeight="1">
      <c r="B742" s="262"/>
      <c r="C742" s="150">
        <f>C739+1</f>
        <v>165</v>
      </c>
      <c r="D742" s="150" t="s">
        <v>123</v>
      </c>
      <c r="E742" s="151" t="s">
        <v>684</v>
      </c>
      <c r="F742" s="323" t="s">
        <v>1141</v>
      </c>
      <c r="G742" s="150" t="s">
        <v>155</v>
      </c>
      <c r="H742" s="325">
        <f>H744</f>
        <v>6.5</v>
      </c>
      <c r="I742" s="91"/>
      <c r="J742" s="155">
        <f t="shared" ref="J742" si="11">ROUND(I742*H742,2)</f>
        <v>0</v>
      </c>
      <c r="K742" s="152"/>
      <c r="O742" s="310"/>
    </row>
    <row r="743" spans="2:15" s="11" customFormat="1">
      <c r="B743" s="141"/>
      <c r="D743" s="142" t="s">
        <v>95</v>
      </c>
      <c r="F743" s="144" t="s">
        <v>1139</v>
      </c>
      <c r="H743" s="145">
        <f>6.5</f>
        <v>6.5</v>
      </c>
      <c r="O743" s="1"/>
    </row>
    <row r="744" spans="2:15" s="12" customFormat="1">
      <c r="B744" s="146"/>
      <c r="D744" s="142" t="s">
        <v>95</v>
      </c>
      <c r="E744" s="147" t="s">
        <v>2</v>
      </c>
      <c r="F744" s="148" t="s">
        <v>96</v>
      </c>
      <c r="H744" s="149">
        <f>SUM(H743:H743)</f>
        <v>6.5</v>
      </c>
      <c r="O744" s="1"/>
    </row>
    <row r="745" spans="2:15" s="165" customFormat="1" ht="22.9" customHeight="1">
      <c r="B745" s="262"/>
      <c r="C745" s="150">
        <f>C742+1</f>
        <v>166</v>
      </c>
      <c r="D745" s="150" t="s">
        <v>123</v>
      </c>
      <c r="E745" s="151" t="s">
        <v>685</v>
      </c>
      <c r="F745" s="323" t="s">
        <v>1142</v>
      </c>
      <c r="G745" s="150" t="s">
        <v>155</v>
      </c>
      <c r="H745" s="325">
        <f>H747</f>
        <v>13</v>
      </c>
      <c r="I745" s="91"/>
      <c r="J745" s="155">
        <f t="shared" ref="J745" si="12">ROUND(I745*H745,2)</f>
        <v>0</v>
      </c>
      <c r="K745" s="152"/>
      <c r="O745" s="310"/>
    </row>
    <row r="746" spans="2:15" s="11" customFormat="1">
      <c r="B746" s="141"/>
      <c r="D746" s="142" t="s">
        <v>95</v>
      </c>
      <c r="F746" s="144" t="s">
        <v>1159</v>
      </c>
      <c r="H746" s="145">
        <f>6.5*2</f>
        <v>13</v>
      </c>
      <c r="O746" s="1"/>
    </row>
    <row r="747" spans="2:15" s="12" customFormat="1">
      <c r="B747" s="146"/>
      <c r="D747" s="142" t="s">
        <v>95</v>
      </c>
      <c r="E747" s="147" t="s">
        <v>2</v>
      </c>
      <c r="F747" s="148" t="s">
        <v>96</v>
      </c>
      <c r="H747" s="149">
        <f>SUM(H746:H746)</f>
        <v>13</v>
      </c>
      <c r="O747" s="1"/>
    </row>
    <row r="748" spans="2:15" s="165" customFormat="1" ht="22.9" customHeight="1">
      <c r="B748" s="262"/>
      <c r="C748" s="150">
        <f>C745+1</f>
        <v>167</v>
      </c>
      <c r="D748" s="150" t="s">
        <v>123</v>
      </c>
      <c r="E748" s="151" t="s">
        <v>686</v>
      </c>
      <c r="F748" s="323" t="s">
        <v>532</v>
      </c>
      <c r="G748" s="150" t="s">
        <v>261</v>
      </c>
      <c r="H748" s="324">
        <f>SUM(J730:J747)</f>
        <v>0</v>
      </c>
      <c r="I748" s="327"/>
      <c r="J748" s="155">
        <f>ROUND(I748%*H748,2)</f>
        <v>0</v>
      </c>
      <c r="K748" s="152"/>
      <c r="O748" s="310"/>
    </row>
    <row r="749" spans="2:15" s="163" customFormat="1" ht="22.9" customHeight="1">
      <c r="B749" s="254"/>
      <c r="C749" s="135">
        <f>C748+1</f>
        <v>168</v>
      </c>
      <c r="D749" s="135" t="s">
        <v>643</v>
      </c>
      <c r="E749" s="136" t="s">
        <v>687</v>
      </c>
      <c r="F749" s="270" t="s">
        <v>533</v>
      </c>
      <c r="G749" s="258" t="s">
        <v>261</v>
      </c>
      <c r="H749" s="326">
        <f>SUM(J730:J748)</f>
        <v>0</v>
      </c>
      <c r="I749" s="282"/>
      <c r="J749" s="140">
        <f>ROUND(I749%*H749,2)</f>
        <v>0</v>
      </c>
      <c r="K749" s="137"/>
      <c r="O749" s="1"/>
    </row>
    <row r="750" spans="2:15" s="10" customFormat="1" ht="29.85" customHeight="1">
      <c r="B750" s="128"/>
      <c r="D750" s="129"/>
      <c r="E750" s="322" t="s">
        <v>688</v>
      </c>
      <c r="F750" s="133" t="s">
        <v>1143</v>
      </c>
      <c r="G750" s="132"/>
      <c r="J750" s="134"/>
      <c r="O750"/>
    </row>
    <row r="751" spans="2:15" s="165" customFormat="1" ht="22.9" customHeight="1">
      <c r="B751" s="262"/>
      <c r="C751" s="150">
        <f>C749+1</f>
        <v>169</v>
      </c>
      <c r="D751" s="150" t="s">
        <v>123</v>
      </c>
      <c r="E751" s="151" t="s">
        <v>689</v>
      </c>
      <c r="F751" s="323" t="s">
        <v>1144</v>
      </c>
      <c r="G751" s="150" t="s">
        <v>181</v>
      </c>
      <c r="H751" s="324">
        <f>H753</f>
        <v>1</v>
      </c>
      <c r="I751" s="91"/>
      <c r="J751" s="155">
        <f t="shared" ref="J751:J793" si="13">ROUND(I751*H751,2)</f>
        <v>0</v>
      </c>
      <c r="K751" s="152"/>
      <c r="O751" s="310"/>
    </row>
    <row r="752" spans="2:15" s="11" customFormat="1">
      <c r="B752" s="141"/>
      <c r="D752" s="142" t="s">
        <v>95</v>
      </c>
      <c r="F752" s="144" t="s">
        <v>1151</v>
      </c>
      <c r="H752" s="145">
        <f>1</f>
        <v>1</v>
      </c>
      <c r="O752" s="1"/>
    </row>
    <row r="753" spans="2:15" s="12" customFormat="1">
      <c r="B753" s="146"/>
      <c r="D753" s="142" t="s">
        <v>95</v>
      </c>
      <c r="E753" s="147" t="s">
        <v>2</v>
      </c>
      <c r="F753" s="148" t="s">
        <v>96</v>
      </c>
      <c r="H753" s="149">
        <f>SUM(H752:H752)</f>
        <v>1</v>
      </c>
      <c r="O753" s="1"/>
    </row>
    <row r="754" spans="2:15" s="165" customFormat="1" ht="22.9" customHeight="1">
      <c r="B754" s="262"/>
      <c r="C754" s="150">
        <f>C751+1</f>
        <v>170</v>
      </c>
      <c r="D754" s="150" t="s">
        <v>123</v>
      </c>
      <c r="E754" s="151" t="s">
        <v>690</v>
      </c>
      <c r="F754" s="323" t="s">
        <v>2525</v>
      </c>
      <c r="G754" s="150" t="s">
        <v>265</v>
      </c>
      <c r="H754" s="324">
        <f>H756</f>
        <v>1</v>
      </c>
      <c r="I754" s="91"/>
      <c r="J754" s="155">
        <f t="shared" si="13"/>
        <v>0</v>
      </c>
      <c r="K754" s="152"/>
      <c r="O754" s="310"/>
    </row>
    <row r="755" spans="2:15" s="11" customFormat="1">
      <c r="B755" s="141"/>
      <c r="D755" s="142" t="s">
        <v>95</v>
      </c>
      <c r="F755" s="144" t="s">
        <v>1151</v>
      </c>
      <c r="H755" s="145">
        <f>1</f>
        <v>1</v>
      </c>
      <c r="O755" s="1"/>
    </row>
    <row r="756" spans="2:15" s="12" customFormat="1">
      <c r="B756" s="146"/>
      <c r="D756" s="142" t="s">
        <v>95</v>
      </c>
      <c r="E756" s="147" t="s">
        <v>2</v>
      </c>
      <c r="F756" s="148" t="s">
        <v>96</v>
      </c>
      <c r="H756" s="149">
        <f>SUM(H755:H755)</f>
        <v>1</v>
      </c>
      <c r="O756" s="1"/>
    </row>
    <row r="757" spans="2:15" s="165" customFormat="1" ht="22.9" customHeight="1">
      <c r="B757" s="262"/>
      <c r="C757" s="150">
        <f>C754+1</f>
        <v>171</v>
      </c>
      <c r="D757" s="150" t="s">
        <v>123</v>
      </c>
      <c r="E757" s="151" t="s">
        <v>692</v>
      </c>
      <c r="F757" s="323" t="s">
        <v>1145</v>
      </c>
      <c r="G757" s="150" t="s">
        <v>265</v>
      </c>
      <c r="H757" s="324">
        <f>H759</f>
        <v>1</v>
      </c>
      <c r="I757" s="91"/>
      <c r="J757" s="155">
        <f t="shared" si="13"/>
        <v>0</v>
      </c>
      <c r="K757" s="152"/>
      <c r="O757" s="310"/>
    </row>
    <row r="758" spans="2:15" s="11" customFormat="1">
      <c r="B758" s="141"/>
      <c r="D758" s="142" t="s">
        <v>95</v>
      </c>
      <c r="F758" s="144" t="s">
        <v>1151</v>
      </c>
      <c r="H758" s="145">
        <f>1</f>
        <v>1</v>
      </c>
      <c r="O758" s="1"/>
    </row>
    <row r="759" spans="2:15" s="12" customFormat="1">
      <c r="B759" s="146"/>
      <c r="D759" s="142" t="s">
        <v>95</v>
      </c>
      <c r="E759" s="147" t="s">
        <v>2</v>
      </c>
      <c r="F759" s="148" t="s">
        <v>96</v>
      </c>
      <c r="H759" s="149">
        <f>SUM(H758:H758)</f>
        <v>1</v>
      </c>
      <c r="O759" s="1"/>
    </row>
    <row r="760" spans="2:15" s="165" customFormat="1" ht="22.9" customHeight="1">
      <c r="B760" s="262"/>
      <c r="C760" s="150">
        <f>C757+1</f>
        <v>172</v>
      </c>
      <c r="D760" s="150" t="s">
        <v>123</v>
      </c>
      <c r="E760" s="151" t="s">
        <v>693</v>
      </c>
      <c r="F760" s="323" t="s">
        <v>1146</v>
      </c>
      <c r="G760" s="150" t="s">
        <v>265</v>
      </c>
      <c r="H760" s="324">
        <f>H762</f>
        <v>2</v>
      </c>
      <c r="I760" s="91"/>
      <c r="J760" s="155">
        <f t="shared" si="13"/>
        <v>0</v>
      </c>
      <c r="K760" s="152"/>
      <c r="O760" s="310"/>
    </row>
    <row r="761" spans="2:15" s="11" customFormat="1">
      <c r="B761" s="141"/>
      <c r="D761" s="142" t="s">
        <v>95</v>
      </c>
      <c r="F761" s="144" t="s">
        <v>1154</v>
      </c>
      <c r="H761" s="145">
        <f>2</f>
        <v>2</v>
      </c>
      <c r="O761" s="1"/>
    </row>
    <row r="762" spans="2:15" s="12" customFormat="1">
      <c r="B762" s="146"/>
      <c r="D762" s="142" t="s">
        <v>95</v>
      </c>
      <c r="E762" s="147" t="s">
        <v>2</v>
      </c>
      <c r="F762" s="148" t="s">
        <v>96</v>
      </c>
      <c r="H762" s="149">
        <f>SUM(H761:H761)</f>
        <v>2</v>
      </c>
      <c r="O762" s="1"/>
    </row>
    <row r="763" spans="2:15" s="165" customFormat="1" ht="22.9" customHeight="1">
      <c r="B763" s="262"/>
      <c r="C763" s="150">
        <f>C760+1</f>
        <v>173</v>
      </c>
      <c r="D763" s="150" t="s">
        <v>123</v>
      </c>
      <c r="E763" s="151" t="s">
        <v>694</v>
      </c>
      <c r="F763" s="323" t="s">
        <v>1147</v>
      </c>
      <c r="G763" s="150" t="s">
        <v>265</v>
      </c>
      <c r="H763" s="324">
        <f>H765</f>
        <v>1</v>
      </c>
      <c r="I763" s="91"/>
      <c r="J763" s="155">
        <f t="shared" si="13"/>
        <v>0</v>
      </c>
      <c r="K763" s="152"/>
      <c r="O763" s="310"/>
    </row>
    <row r="764" spans="2:15" s="11" customFormat="1">
      <c r="B764" s="141"/>
      <c r="D764" s="142" t="s">
        <v>95</v>
      </c>
      <c r="F764" s="144" t="s">
        <v>1151</v>
      </c>
      <c r="H764" s="145">
        <f>1</f>
        <v>1</v>
      </c>
      <c r="O764" s="1"/>
    </row>
    <row r="765" spans="2:15" s="12" customFormat="1">
      <c r="B765" s="146"/>
      <c r="D765" s="142" t="s">
        <v>95</v>
      </c>
      <c r="E765" s="147" t="s">
        <v>2</v>
      </c>
      <c r="F765" s="148" t="s">
        <v>96</v>
      </c>
      <c r="H765" s="149">
        <f>SUM(H764:H764)</f>
        <v>1</v>
      </c>
      <c r="O765" s="1"/>
    </row>
    <row r="766" spans="2:15" s="165" customFormat="1" ht="22.9" customHeight="1">
      <c r="B766" s="262"/>
      <c r="C766" s="150">
        <f>C763+1</f>
        <v>174</v>
      </c>
      <c r="D766" s="150" t="s">
        <v>123</v>
      </c>
      <c r="E766" s="151" t="s">
        <v>695</v>
      </c>
      <c r="F766" s="323" t="s">
        <v>534</v>
      </c>
      <c r="G766" s="150" t="s">
        <v>155</v>
      </c>
      <c r="H766" s="324">
        <f>H768</f>
        <v>1</v>
      </c>
      <c r="I766" s="91"/>
      <c r="J766" s="155">
        <f t="shared" si="13"/>
        <v>0</v>
      </c>
      <c r="K766" s="152"/>
      <c r="O766" s="310"/>
    </row>
    <row r="767" spans="2:15" s="11" customFormat="1">
      <c r="B767" s="141"/>
      <c r="D767" s="142" t="s">
        <v>95</v>
      </c>
      <c r="F767" s="144" t="s">
        <v>1149</v>
      </c>
      <c r="H767" s="145">
        <f>1</f>
        <v>1</v>
      </c>
      <c r="O767" s="1"/>
    </row>
    <row r="768" spans="2:15" s="12" customFormat="1">
      <c r="B768" s="146"/>
      <c r="D768" s="142" t="s">
        <v>95</v>
      </c>
      <c r="E768" s="147" t="s">
        <v>2</v>
      </c>
      <c r="F768" s="148" t="s">
        <v>96</v>
      </c>
      <c r="H768" s="149">
        <f>SUM(H767:H767)</f>
        <v>1</v>
      </c>
      <c r="O768" s="1"/>
    </row>
    <row r="769" spans="2:15" s="165" customFormat="1" ht="22.9" customHeight="1">
      <c r="B769" s="262"/>
      <c r="C769" s="150">
        <f>C766+1</f>
        <v>175</v>
      </c>
      <c r="D769" s="150" t="s">
        <v>123</v>
      </c>
      <c r="E769" s="151" t="s">
        <v>696</v>
      </c>
      <c r="F769" s="323" t="s">
        <v>1150</v>
      </c>
      <c r="G769" s="150" t="s">
        <v>265</v>
      </c>
      <c r="H769" s="324">
        <f>H771</f>
        <v>4</v>
      </c>
      <c r="I769" s="91"/>
      <c r="J769" s="155">
        <f t="shared" si="13"/>
        <v>0</v>
      </c>
      <c r="K769" s="152"/>
      <c r="O769" s="310"/>
    </row>
    <row r="770" spans="2:15" s="11" customFormat="1">
      <c r="B770" s="141"/>
      <c r="D770" s="142" t="s">
        <v>95</v>
      </c>
      <c r="F770" s="144" t="s">
        <v>1152</v>
      </c>
      <c r="H770" s="145">
        <v>4</v>
      </c>
      <c r="O770" s="1"/>
    </row>
    <row r="771" spans="2:15" s="12" customFormat="1">
      <c r="B771" s="146"/>
      <c r="D771" s="142" t="s">
        <v>95</v>
      </c>
      <c r="E771" s="147" t="s">
        <v>2</v>
      </c>
      <c r="F771" s="148" t="s">
        <v>96</v>
      </c>
      <c r="H771" s="149">
        <f>SUM(H770:H770)</f>
        <v>4</v>
      </c>
      <c r="O771" s="1"/>
    </row>
    <row r="772" spans="2:15" s="165" customFormat="1" ht="22.9" customHeight="1">
      <c r="B772" s="262"/>
      <c r="C772" s="150">
        <f>C769+1</f>
        <v>176</v>
      </c>
      <c r="D772" s="150" t="s">
        <v>123</v>
      </c>
      <c r="E772" s="151" t="s">
        <v>697</v>
      </c>
      <c r="F772" s="323" t="s">
        <v>1148</v>
      </c>
      <c r="G772" s="150" t="s">
        <v>265</v>
      </c>
      <c r="H772" s="324">
        <f>H774</f>
        <v>18</v>
      </c>
      <c r="I772" s="91"/>
      <c r="J772" s="155">
        <f t="shared" si="13"/>
        <v>0</v>
      </c>
      <c r="K772" s="152"/>
      <c r="O772" s="310"/>
    </row>
    <row r="773" spans="2:15" s="11" customFormat="1">
      <c r="B773" s="141"/>
      <c r="D773" s="142" t="s">
        <v>95</v>
      </c>
      <c r="F773" s="144" t="s">
        <v>1153</v>
      </c>
      <c r="H773" s="145">
        <v>18</v>
      </c>
      <c r="O773" s="1"/>
    </row>
    <row r="774" spans="2:15" s="12" customFormat="1">
      <c r="B774" s="146"/>
      <c r="D774" s="142" t="s">
        <v>95</v>
      </c>
      <c r="E774" s="147" t="s">
        <v>2</v>
      </c>
      <c r="F774" s="148" t="s">
        <v>96</v>
      </c>
      <c r="H774" s="149">
        <f>SUM(H773:H773)</f>
        <v>18</v>
      </c>
      <c r="O774" s="1"/>
    </row>
    <row r="775" spans="2:15" s="165" customFormat="1" ht="22.9" customHeight="1">
      <c r="B775" s="262"/>
      <c r="C775" s="150">
        <f>C772+1</f>
        <v>177</v>
      </c>
      <c r="D775" s="150" t="s">
        <v>123</v>
      </c>
      <c r="E775" s="151" t="s">
        <v>698</v>
      </c>
      <c r="F775" s="323" t="s">
        <v>526</v>
      </c>
      <c r="G775" s="150" t="s">
        <v>181</v>
      </c>
      <c r="H775" s="324">
        <f>H777</f>
        <v>1</v>
      </c>
      <c r="I775" s="91"/>
      <c r="J775" s="155">
        <f t="shared" si="13"/>
        <v>0</v>
      </c>
      <c r="K775" s="152"/>
      <c r="O775" s="310"/>
    </row>
    <row r="776" spans="2:15" s="11" customFormat="1">
      <c r="B776" s="141"/>
      <c r="D776" s="142" t="s">
        <v>95</v>
      </c>
      <c r="F776" s="144" t="s">
        <v>1134</v>
      </c>
      <c r="H776" s="145">
        <f>1</f>
        <v>1</v>
      </c>
      <c r="O776" s="1"/>
    </row>
    <row r="777" spans="2:15" s="12" customFormat="1">
      <c r="B777" s="146"/>
      <c r="D777" s="142" t="s">
        <v>95</v>
      </c>
      <c r="E777" s="147" t="s">
        <v>2</v>
      </c>
      <c r="F777" s="148" t="s">
        <v>96</v>
      </c>
      <c r="H777" s="149">
        <f>SUM(H776:H776)</f>
        <v>1</v>
      </c>
      <c r="O777" s="1"/>
    </row>
    <row r="778" spans="2:15" s="165" customFormat="1" ht="22.9" customHeight="1">
      <c r="B778" s="262"/>
      <c r="C778" s="150">
        <f>C775+1</f>
        <v>178</v>
      </c>
      <c r="D778" s="150" t="s">
        <v>123</v>
      </c>
      <c r="E778" s="151" t="s">
        <v>699</v>
      </c>
      <c r="F778" s="323" t="s">
        <v>1810</v>
      </c>
      <c r="G778" s="150" t="s">
        <v>265</v>
      </c>
      <c r="H778" s="324">
        <f>H780</f>
        <v>1</v>
      </c>
      <c r="I778" s="91"/>
      <c r="J778" s="155">
        <f t="shared" si="13"/>
        <v>0</v>
      </c>
      <c r="K778" s="152"/>
      <c r="O778" s="310"/>
    </row>
    <row r="779" spans="2:15" s="11" customFormat="1">
      <c r="B779" s="141"/>
      <c r="D779" s="142" t="s">
        <v>95</v>
      </c>
      <c r="F779" s="144" t="s">
        <v>1151</v>
      </c>
      <c r="H779" s="145">
        <f>1</f>
        <v>1</v>
      </c>
      <c r="O779" s="1"/>
    </row>
    <row r="780" spans="2:15" s="12" customFormat="1">
      <c r="B780" s="146"/>
      <c r="D780" s="142" t="s">
        <v>95</v>
      </c>
      <c r="E780" s="147" t="s">
        <v>2</v>
      </c>
      <c r="F780" s="148" t="s">
        <v>96</v>
      </c>
      <c r="H780" s="149">
        <f>SUM(H779:H779)</f>
        <v>1</v>
      </c>
      <c r="O780" s="1"/>
    </row>
    <row r="781" spans="2:15" s="165" customFormat="1" ht="22.9" customHeight="1">
      <c r="B781" s="262"/>
      <c r="C781" s="150">
        <f>C778+1</f>
        <v>179</v>
      </c>
      <c r="D781" s="150" t="s">
        <v>123</v>
      </c>
      <c r="E781" s="151" t="s">
        <v>700</v>
      </c>
      <c r="F781" s="323" t="s">
        <v>527</v>
      </c>
      <c r="G781" s="150" t="s">
        <v>265</v>
      </c>
      <c r="H781" s="324">
        <f>H783</f>
        <v>4</v>
      </c>
      <c r="I781" s="91"/>
      <c r="J781" s="155">
        <f t="shared" si="13"/>
        <v>0</v>
      </c>
      <c r="K781" s="152"/>
      <c r="O781" s="310"/>
    </row>
    <row r="782" spans="2:15" s="11" customFormat="1">
      <c r="B782" s="141"/>
      <c r="D782" s="142" t="s">
        <v>95</v>
      </c>
      <c r="F782" s="144" t="s">
        <v>1152</v>
      </c>
      <c r="H782" s="145">
        <f>4</f>
        <v>4</v>
      </c>
      <c r="O782" s="1"/>
    </row>
    <row r="783" spans="2:15" s="12" customFormat="1">
      <c r="B783" s="146"/>
      <c r="D783" s="142" t="s">
        <v>95</v>
      </c>
      <c r="E783" s="147" t="s">
        <v>2</v>
      </c>
      <c r="F783" s="148" t="s">
        <v>96</v>
      </c>
      <c r="H783" s="149">
        <f>SUM(H782:H782)</f>
        <v>4</v>
      </c>
      <c r="O783" s="1"/>
    </row>
    <row r="784" spans="2:15" s="165" customFormat="1" ht="22.9" customHeight="1">
      <c r="B784" s="262"/>
      <c r="C784" s="150">
        <f>C781+1</f>
        <v>180</v>
      </c>
      <c r="D784" s="150" t="s">
        <v>123</v>
      </c>
      <c r="E784" s="151" t="s">
        <v>701</v>
      </c>
      <c r="F784" s="323" t="s">
        <v>528</v>
      </c>
      <c r="G784" s="150" t="s">
        <v>265</v>
      </c>
      <c r="H784" s="324">
        <f>H786</f>
        <v>1</v>
      </c>
      <c r="I784" s="91"/>
      <c r="J784" s="155">
        <f t="shared" si="13"/>
        <v>0</v>
      </c>
      <c r="K784" s="152"/>
      <c r="O784" s="310"/>
    </row>
    <row r="785" spans="2:15" s="11" customFormat="1">
      <c r="B785" s="141"/>
      <c r="D785" s="142" t="s">
        <v>95</v>
      </c>
      <c r="F785" s="144" t="s">
        <v>1151</v>
      </c>
      <c r="H785" s="145">
        <f>1</f>
        <v>1</v>
      </c>
      <c r="O785" s="1"/>
    </row>
    <row r="786" spans="2:15" s="12" customFormat="1">
      <c r="B786" s="146"/>
      <c r="D786" s="142" t="s">
        <v>95</v>
      </c>
      <c r="E786" s="147" t="s">
        <v>2</v>
      </c>
      <c r="F786" s="148" t="s">
        <v>96</v>
      </c>
      <c r="H786" s="149">
        <f>SUM(H785:H785)</f>
        <v>1</v>
      </c>
      <c r="O786" s="1"/>
    </row>
    <row r="787" spans="2:15" s="165" customFormat="1" ht="22.9" customHeight="1">
      <c r="B787" s="262"/>
      <c r="C787" s="150">
        <f>C784+1</f>
        <v>181</v>
      </c>
      <c r="D787" s="150" t="s">
        <v>123</v>
      </c>
      <c r="E787" s="151" t="s">
        <v>702</v>
      </c>
      <c r="F787" s="323" t="s">
        <v>529</v>
      </c>
      <c r="G787" s="150" t="s">
        <v>265</v>
      </c>
      <c r="H787" s="324">
        <f>H789</f>
        <v>1</v>
      </c>
      <c r="I787" s="91"/>
      <c r="J787" s="155">
        <f t="shared" si="13"/>
        <v>0</v>
      </c>
      <c r="K787" s="152"/>
      <c r="O787" s="310"/>
    </row>
    <row r="788" spans="2:15" s="11" customFormat="1">
      <c r="B788" s="141"/>
      <c r="D788" s="142" t="s">
        <v>95</v>
      </c>
      <c r="F788" s="144" t="s">
        <v>1151</v>
      </c>
      <c r="H788" s="145">
        <f>1</f>
        <v>1</v>
      </c>
      <c r="O788" s="1"/>
    </row>
    <row r="789" spans="2:15" s="12" customFormat="1">
      <c r="B789" s="146"/>
      <c r="D789" s="142" t="s">
        <v>95</v>
      </c>
      <c r="E789" s="147" t="s">
        <v>2</v>
      </c>
      <c r="F789" s="148" t="s">
        <v>96</v>
      </c>
      <c r="H789" s="149">
        <f>SUM(H788:H788)</f>
        <v>1</v>
      </c>
      <c r="O789" s="1"/>
    </row>
    <row r="790" spans="2:15" s="165" customFormat="1" ht="22.9" customHeight="1">
      <c r="B790" s="262"/>
      <c r="C790" s="150">
        <f>C787+1</f>
        <v>182</v>
      </c>
      <c r="D790" s="150" t="s">
        <v>123</v>
      </c>
      <c r="E790" s="151" t="s">
        <v>703</v>
      </c>
      <c r="F790" s="323" t="s">
        <v>530</v>
      </c>
      <c r="G790" s="150" t="s">
        <v>265</v>
      </c>
      <c r="H790" s="324">
        <f>H792</f>
        <v>2</v>
      </c>
      <c r="I790" s="91"/>
      <c r="J790" s="155">
        <f t="shared" si="13"/>
        <v>0</v>
      </c>
      <c r="K790" s="152"/>
      <c r="O790" s="310"/>
    </row>
    <row r="791" spans="2:15" s="11" customFormat="1">
      <c r="B791" s="141"/>
      <c r="D791" s="142" t="s">
        <v>95</v>
      </c>
      <c r="F791" s="144" t="s">
        <v>1154</v>
      </c>
      <c r="H791" s="145">
        <f>2</f>
        <v>2</v>
      </c>
      <c r="O791" s="1"/>
    </row>
    <row r="792" spans="2:15" s="12" customFormat="1">
      <c r="B792" s="146"/>
      <c r="D792" s="142" t="s">
        <v>95</v>
      </c>
      <c r="E792" s="147" t="s">
        <v>2</v>
      </c>
      <c r="F792" s="148" t="s">
        <v>96</v>
      </c>
      <c r="H792" s="149">
        <f>SUM(H791:H791)</f>
        <v>2</v>
      </c>
      <c r="O792" s="1"/>
    </row>
    <row r="793" spans="2:15" s="165" customFormat="1" ht="22.9" customHeight="1">
      <c r="B793" s="262"/>
      <c r="C793" s="150">
        <f>C790+1</f>
        <v>183</v>
      </c>
      <c r="D793" s="150" t="s">
        <v>123</v>
      </c>
      <c r="E793" s="151" t="s">
        <v>704</v>
      </c>
      <c r="F793" s="323" t="s">
        <v>531</v>
      </c>
      <c r="G793" s="150" t="s">
        <v>265</v>
      </c>
      <c r="H793" s="324">
        <f>H795</f>
        <v>19</v>
      </c>
      <c r="I793" s="91"/>
      <c r="J793" s="155">
        <f t="shared" si="13"/>
        <v>0</v>
      </c>
      <c r="K793" s="152"/>
      <c r="O793" s="310"/>
    </row>
    <row r="794" spans="2:15" s="11" customFormat="1">
      <c r="B794" s="141"/>
      <c r="D794" s="142" t="s">
        <v>95</v>
      </c>
      <c r="F794" s="144" t="s">
        <v>1155</v>
      </c>
      <c r="H794" s="145">
        <f>19</f>
        <v>19</v>
      </c>
      <c r="O794" s="1"/>
    </row>
    <row r="795" spans="2:15" s="12" customFormat="1">
      <c r="B795" s="146"/>
      <c r="D795" s="142" t="s">
        <v>95</v>
      </c>
      <c r="E795" s="147" t="s">
        <v>2</v>
      </c>
      <c r="F795" s="148" t="s">
        <v>96</v>
      </c>
      <c r="H795" s="149">
        <f>SUM(H794:H794)</f>
        <v>19</v>
      </c>
      <c r="O795" s="1"/>
    </row>
    <row r="796" spans="2:15" s="165" customFormat="1" ht="22.9" customHeight="1">
      <c r="B796" s="262"/>
      <c r="C796" s="150">
        <f>C793+1</f>
        <v>184</v>
      </c>
      <c r="D796" s="150" t="s">
        <v>123</v>
      </c>
      <c r="E796" s="151" t="s">
        <v>705</v>
      </c>
      <c r="F796" s="323" t="s">
        <v>532</v>
      </c>
      <c r="G796" s="150" t="s">
        <v>261</v>
      </c>
      <c r="H796" s="324">
        <f>SUM(J751:J795)</f>
        <v>0</v>
      </c>
      <c r="I796" s="327"/>
      <c r="J796" s="155">
        <f>ROUND(I796%*H796,2)</f>
        <v>0</v>
      </c>
      <c r="K796" s="152"/>
      <c r="O796" s="310"/>
    </row>
    <row r="797" spans="2:15" s="163" customFormat="1" ht="22.9" customHeight="1">
      <c r="B797" s="254"/>
      <c r="C797" s="135">
        <f>C796+1</f>
        <v>185</v>
      </c>
      <c r="D797" s="135" t="s">
        <v>643</v>
      </c>
      <c r="E797" s="136" t="s">
        <v>706</v>
      </c>
      <c r="F797" s="270" t="s">
        <v>533</v>
      </c>
      <c r="G797" s="258" t="s">
        <v>261</v>
      </c>
      <c r="H797" s="326">
        <f>SUM(J751:J796)</f>
        <v>0</v>
      </c>
      <c r="I797" s="282"/>
      <c r="J797" s="140">
        <f>ROUND(I797%*H797,2)</f>
        <v>0</v>
      </c>
      <c r="K797" s="137"/>
      <c r="O797" s="1"/>
    </row>
    <row r="798" spans="2:15" s="10" customFormat="1" ht="29.85" customHeight="1">
      <c r="B798" s="128"/>
      <c r="D798" s="129"/>
      <c r="E798" s="248" t="s">
        <v>707</v>
      </c>
      <c r="F798" s="133" t="s">
        <v>1156</v>
      </c>
      <c r="G798" s="132"/>
      <c r="J798" s="134"/>
      <c r="O798"/>
    </row>
    <row r="799" spans="2:15" s="165" customFormat="1" ht="22.9" customHeight="1">
      <c r="B799" s="262"/>
      <c r="C799" s="150">
        <f>C797+1</f>
        <v>186</v>
      </c>
      <c r="D799" s="150" t="s">
        <v>123</v>
      </c>
      <c r="E799" s="151" t="s">
        <v>708</v>
      </c>
      <c r="F799" s="323" t="s">
        <v>2350</v>
      </c>
      <c r="G799" s="150" t="s">
        <v>155</v>
      </c>
      <c r="H799" s="325">
        <f>H801</f>
        <v>28.5</v>
      </c>
      <c r="I799" s="91"/>
      <c r="J799" s="155">
        <f t="shared" ref="J799:J874" si="14">ROUND(I799*H799,2)</f>
        <v>0</v>
      </c>
      <c r="K799" s="152"/>
      <c r="O799" s="310"/>
    </row>
    <row r="800" spans="2:15" s="11" customFormat="1">
      <c r="B800" s="141"/>
      <c r="D800" s="142" t="s">
        <v>95</v>
      </c>
      <c r="F800" s="144" t="s">
        <v>1157</v>
      </c>
      <c r="H800" s="145">
        <f>28.5</f>
        <v>28.5</v>
      </c>
      <c r="K800" s="331"/>
      <c r="O800" s="1"/>
    </row>
    <row r="801" spans="2:15" s="12" customFormat="1">
      <c r="B801" s="146"/>
      <c r="D801" s="142" t="s">
        <v>95</v>
      </c>
      <c r="E801" s="147" t="s">
        <v>2</v>
      </c>
      <c r="F801" s="148" t="s">
        <v>96</v>
      </c>
      <c r="H801" s="149">
        <f>SUM(H800:H800)</f>
        <v>28.5</v>
      </c>
      <c r="K801" s="331"/>
      <c r="O801" s="1"/>
    </row>
    <row r="802" spans="2:15" s="165" customFormat="1" ht="22.9" customHeight="1">
      <c r="B802" s="262"/>
      <c r="C802" s="150">
        <f>C799+1</f>
        <v>187</v>
      </c>
      <c r="D802" s="150" t="s">
        <v>123</v>
      </c>
      <c r="E802" s="151" t="s">
        <v>681</v>
      </c>
      <c r="F802" s="323" t="s">
        <v>537</v>
      </c>
      <c r="G802" s="150" t="s">
        <v>155</v>
      </c>
      <c r="H802" s="325">
        <f>H804</f>
        <v>79.86</v>
      </c>
      <c r="I802" s="91"/>
      <c r="J802" s="155">
        <f t="shared" si="14"/>
        <v>0</v>
      </c>
      <c r="K802" s="152"/>
      <c r="O802" s="310"/>
    </row>
    <row r="803" spans="2:15" s="11" customFormat="1">
      <c r="B803" s="141"/>
      <c r="D803" s="142" t="s">
        <v>95</v>
      </c>
      <c r="F803" s="144" t="s">
        <v>1160</v>
      </c>
      <c r="H803" s="145">
        <f>(27.43+12.5)*2</f>
        <v>79.86</v>
      </c>
      <c r="K803" s="331"/>
      <c r="O803" s="1"/>
    </row>
    <row r="804" spans="2:15" s="12" customFormat="1">
      <c r="B804" s="146"/>
      <c r="D804" s="142" t="s">
        <v>95</v>
      </c>
      <c r="E804" s="147" t="s">
        <v>2</v>
      </c>
      <c r="F804" s="148" t="s">
        <v>96</v>
      </c>
      <c r="H804" s="149">
        <f>SUM(H803:H803)</f>
        <v>79.86</v>
      </c>
      <c r="K804" s="331"/>
      <c r="O804" s="1"/>
    </row>
    <row r="805" spans="2:15" s="165" customFormat="1" ht="22.9" customHeight="1">
      <c r="B805" s="262"/>
      <c r="C805" s="150">
        <f>C802+1</f>
        <v>188</v>
      </c>
      <c r="D805" s="150" t="s">
        <v>123</v>
      </c>
      <c r="E805" s="151" t="s">
        <v>709</v>
      </c>
      <c r="F805" s="323" t="s">
        <v>538</v>
      </c>
      <c r="G805" s="150" t="s">
        <v>155</v>
      </c>
      <c r="H805" s="325">
        <f>H807</f>
        <v>88.18</v>
      </c>
      <c r="I805" s="91"/>
      <c r="J805" s="155">
        <f t="shared" si="14"/>
        <v>0</v>
      </c>
      <c r="K805" s="152"/>
      <c r="O805" s="310"/>
    </row>
    <row r="806" spans="2:15" s="11" customFormat="1">
      <c r="B806" s="141"/>
      <c r="D806" s="142" t="s">
        <v>95</v>
      </c>
      <c r="F806" s="144" t="s">
        <v>1161</v>
      </c>
      <c r="H806" s="145">
        <f>(17.44+9.5+4.65+12.5)*2</f>
        <v>88.18</v>
      </c>
      <c r="K806" s="331"/>
      <c r="O806" s="1"/>
    </row>
    <row r="807" spans="2:15" s="12" customFormat="1">
      <c r="B807" s="146"/>
      <c r="D807" s="142" t="s">
        <v>95</v>
      </c>
      <c r="E807" s="147" t="s">
        <v>2</v>
      </c>
      <c r="F807" s="148" t="s">
        <v>96</v>
      </c>
      <c r="H807" s="149">
        <f>SUM(H806:H806)</f>
        <v>88.18</v>
      </c>
      <c r="K807" s="331"/>
      <c r="O807" s="1"/>
    </row>
    <row r="808" spans="2:15" s="165" customFormat="1" ht="22.9" customHeight="1">
      <c r="B808" s="262"/>
      <c r="C808" s="150">
        <f>C805+1</f>
        <v>189</v>
      </c>
      <c r="D808" s="150" t="s">
        <v>123</v>
      </c>
      <c r="E808" s="151" t="s">
        <v>710</v>
      </c>
      <c r="F808" s="323" t="s">
        <v>539</v>
      </c>
      <c r="G808" s="150" t="s">
        <v>155</v>
      </c>
      <c r="H808" s="325">
        <f>H810</f>
        <v>59.88</v>
      </c>
      <c r="I808" s="91"/>
      <c r="J808" s="155">
        <f t="shared" si="14"/>
        <v>0</v>
      </c>
      <c r="K808" s="152"/>
      <c r="O808" s="310"/>
    </row>
    <row r="809" spans="2:15" s="11" customFormat="1">
      <c r="B809" s="141"/>
      <c r="D809" s="142" t="s">
        <v>95</v>
      </c>
      <c r="F809" s="144" t="s">
        <v>1162</v>
      </c>
      <c r="H809" s="145">
        <f>(17.44+12.5)*2</f>
        <v>59.88</v>
      </c>
      <c r="K809" s="331"/>
      <c r="O809" s="1"/>
    </row>
    <row r="810" spans="2:15" s="12" customFormat="1">
      <c r="B810" s="146"/>
      <c r="D810" s="142" t="s">
        <v>95</v>
      </c>
      <c r="E810" s="147" t="s">
        <v>2</v>
      </c>
      <c r="F810" s="148" t="s">
        <v>96</v>
      </c>
      <c r="H810" s="149">
        <f>SUM(H809:H809)</f>
        <v>59.88</v>
      </c>
      <c r="K810" s="331"/>
      <c r="O810" s="1"/>
    </row>
    <row r="811" spans="2:15" s="165" customFormat="1" ht="22.9" customHeight="1">
      <c r="B811" s="262"/>
      <c r="C811" s="150">
        <f>C808+1</f>
        <v>190</v>
      </c>
      <c r="D811" s="150" t="s">
        <v>123</v>
      </c>
      <c r="E811" s="151" t="s">
        <v>711</v>
      </c>
      <c r="F811" s="323" t="s">
        <v>540</v>
      </c>
      <c r="G811" s="150" t="s">
        <v>155</v>
      </c>
      <c r="H811" s="325">
        <f>H813</f>
        <v>28.5</v>
      </c>
      <c r="I811" s="91"/>
      <c r="J811" s="155">
        <f t="shared" si="14"/>
        <v>0</v>
      </c>
      <c r="K811" s="152"/>
      <c r="O811" s="310"/>
    </row>
    <row r="812" spans="2:15" s="11" customFormat="1">
      <c r="B812" s="141"/>
      <c r="D812" s="142" t="s">
        <v>95</v>
      </c>
      <c r="F812" s="144" t="s">
        <v>1163</v>
      </c>
      <c r="H812" s="145">
        <f>28.5</f>
        <v>28.5</v>
      </c>
      <c r="K812" s="331"/>
      <c r="O812" s="1"/>
    </row>
    <row r="813" spans="2:15" s="12" customFormat="1">
      <c r="B813" s="146"/>
      <c r="D813" s="142" t="s">
        <v>95</v>
      </c>
      <c r="E813" s="147" t="s">
        <v>2</v>
      </c>
      <c r="F813" s="148" t="s">
        <v>96</v>
      </c>
      <c r="H813" s="149">
        <f>SUM(H812:H812)</f>
        <v>28.5</v>
      </c>
      <c r="K813" s="331"/>
      <c r="O813" s="1"/>
    </row>
    <row r="814" spans="2:15" s="165" customFormat="1" ht="22.9" customHeight="1">
      <c r="B814" s="262"/>
      <c r="C814" s="150">
        <f>C811+1</f>
        <v>191</v>
      </c>
      <c r="D814" s="150" t="s">
        <v>123</v>
      </c>
      <c r="E814" s="151" t="s">
        <v>712</v>
      </c>
      <c r="F814" s="323" t="s">
        <v>541</v>
      </c>
      <c r="G814" s="150" t="s">
        <v>155</v>
      </c>
      <c r="H814" s="325">
        <f>H816</f>
        <v>64</v>
      </c>
      <c r="I814" s="91"/>
      <c r="J814" s="155">
        <f t="shared" si="14"/>
        <v>0</v>
      </c>
      <c r="K814" s="152"/>
      <c r="O814" s="310"/>
    </row>
    <row r="815" spans="2:15" s="11" customFormat="1">
      <c r="B815" s="141"/>
      <c r="D815" s="142" t="s">
        <v>95</v>
      </c>
      <c r="F815" s="144" t="s">
        <v>1164</v>
      </c>
      <c r="H815" s="145">
        <f>64</f>
        <v>64</v>
      </c>
      <c r="K815" s="331"/>
      <c r="O815" s="1"/>
    </row>
    <row r="816" spans="2:15" s="12" customFormat="1">
      <c r="B816" s="146"/>
      <c r="D816" s="142" t="s">
        <v>95</v>
      </c>
      <c r="E816" s="147" t="s">
        <v>2</v>
      </c>
      <c r="F816" s="148" t="s">
        <v>96</v>
      </c>
      <c r="H816" s="149">
        <f>SUM(H815:H815)</f>
        <v>64</v>
      </c>
      <c r="K816" s="331"/>
      <c r="O816" s="1"/>
    </row>
    <row r="817" spans="2:15" s="165" customFormat="1" ht="22.9" customHeight="1">
      <c r="B817" s="262"/>
      <c r="C817" s="150">
        <f>C814+1</f>
        <v>192</v>
      </c>
      <c r="D817" s="150" t="s">
        <v>123</v>
      </c>
      <c r="E817" s="151" t="s">
        <v>713</v>
      </c>
      <c r="F817" s="329" t="s">
        <v>1173</v>
      </c>
      <c r="G817" s="150" t="s">
        <v>265</v>
      </c>
      <c r="H817" s="325">
        <f>H819</f>
        <v>4</v>
      </c>
      <c r="I817" s="91"/>
      <c r="J817" s="155">
        <f t="shared" si="14"/>
        <v>0</v>
      </c>
      <c r="K817" s="152"/>
      <c r="O817" s="310"/>
    </row>
    <row r="818" spans="2:15" s="11" customFormat="1">
      <c r="B818" s="141"/>
      <c r="D818" s="142" t="s">
        <v>95</v>
      </c>
      <c r="F818" s="144" t="s">
        <v>1169</v>
      </c>
      <c r="H818" s="145">
        <f>1+1+1+1</f>
        <v>4</v>
      </c>
      <c r="K818" s="331"/>
      <c r="O818" s="1"/>
    </row>
    <row r="819" spans="2:15" s="12" customFormat="1">
      <c r="B819" s="146"/>
      <c r="D819" s="142" t="s">
        <v>95</v>
      </c>
      <c r="E819" s="147" t="s">
        <v>2</v>
      </c>
      <c r="F819" s="148" t="s">
        <v>96</v>
      </c>
      <c r="H819" s="149">
        <f>SUM(H818:H818)</f>
        <v>4</v>
      </c>
      <c r="K819" s="331"/>
      <c r="O819" s="1"/>
    </row>
    <row r="820" spans="2:15" s="165" customFormat="1" ht="22.9" customHeight="1">
      <c r="B820" s="262"/>
      <c r="C820" s="150">
        <f>C817+1</f>
        <v>193</v>
      </c>
      <c r="D820" s="150" t="s">
        <v>123</v>
      </c>
      <c r="E820" s="151" t="s">
        <v>714</v>
      </c>
      <c r="F820" s="329" t="s">
        <v>1172</v>
      </c>
      <c r="G820" s="150" t="s">
        <v>265</v>
      </c>
      <c r="H820" s="325">
        <f>H822</f>
        <v>1</v>
      </c>
      <c r="I820" s="91"/>
      <c r="J820" s="155">
        <f t="shared" si="14"/>
        <v>0</v>
      </c>
      <c r="K820" s="152"/>
      <c r="O820" s="310"/>
    </row>
    <row r="821" spans="2:15" s="11" customFormat="1">
      <c r="B821" s="141"/>
      <c r="D821" s="142" t="s">
        <v>95</v>
      </c>
      <c r="F821" s="144" t="s">
        <v>1171</v>
      </c>
      <c r="H821" s="145">
        <f>1</f>
        <v>1</v>
      </c>
      <c r="K821" s="331"/>
      <c r="O821" s="1"/>
    </row>
    <row r="822" spans="2:15" s="12" customFormat="1">
      <c r="B822" s="146"/>
      <c r="D822" s="142" t="s">
        <v>95</v>
      </c>
      <c r="E822" s="147" t="s">
        <v>2</v>
      </c>
      <c r="F822" s="148" t="s">
        <v>96</v>
      </c>
      <c r="H822" s="149">
        <f>SUM(H821:H821)</f>
        <v>1</v>
      </c>
      <c r="K822" s="331"/>
      <c r="O822" s="1"/>
    </row>
    <row r="823" spans="2:15" s="165" customFormat="1" ht="22.9" customHeight="1">
      <c r="B823" s="262"/>
      <c r="C823" s="150">
        <f>C820+1</f>
        <v>194</v>
      </c>
      <c r="D823" s="150" t="s">
        <v>123</v>
      </c>
      <c r="E823" s="151" t="s">
        <v>715</v>
      </c>
      <c r="F823" s="329" t="s">
        <v>1174</v>
      </c>
      <c r="G823" s="150" t="s">
        <v>265</v>
      </c>
      <c r="H823" s="325">
        <f>H825</f>
        <v>4</v>
      </c>
      <c r="I823" s="91"/>
      <c r="J823" s="155">
        <f t="shared" si="14"/>
        <v>0</v>
      </c>
      <c r="K823" s="152"/>
      <c r="O823" s="310"/>
    </row>
    <row r="824" spans="2:15" s="11" customFormat="1">
      <c r="B824" s="141"/>
      <c r="D824" s="142" t="s">
        <v>95</v>
      </c>
      <c r="F824" s="144" t="s">
        <v>1169</v>
      </c>
      <c r="H824" s="145">
        <f>1+2+1</f>
        <v>4</v>
      </c>
      <c r="K824" s="331"/>
      <c r="O824" s="1"/>
    </row>
    <row r="825" spans="2:15" s="12" customFormat="1">
      <c r="B825" s="146"/>
      <c r="D825" s="142" t="s">
        <v>95</v>
      </c>
      <c r="E825" s="147" t="s">
        <v>2</v>
      </c>
      <c r="F825" s="148" t="s">
        <v>96</v>
      </c>
      <c r="H825" s="149">
        <f>SUM(H824:H824)</f>
        <v>4</v>
      </c>
      <c r="K825" s="331"/>
      <c r="O825" s="1"/>
    </row>
    <row r="826" spans="2:15" s="165" customFormat="1" ht="22.9" customHeight="1">
      <c r="B826" s="262"/>
      <c r="C826" s="150">
        <f>C823+1</f>
        <v>195</v>
      </c>
      <c r="D826" s="150" t="s">
        <v>123</v>
      </c>
      <c r="E826" s="151" t="s">
        <v>716</v>
      </c>
      <c r="F826" s="329" t="s">
        <v>1175</v>
      </c>
      <c r="G826" s="150" t="s">
        <v>265</v>
      </c>
      <c r="H826" s="325">
        <f>H828</f>
        <v>3</v>
      </c>
      <c r="I826" s="91"/>
      <c r="J826" s="155">
        <f t="shared" si="14"/>
        <v>0</v>
      </c>
      <c r="K826" s="152"/>
      <c r="O826" s="310"/>
    </row>
    <row r="827" spans="2:15" s="11" customFormat="1">
      <c r="B827" s="141"/>
      <c r="D827" s="142" t="s">
        <v>95</v>
      </c>
      <c r="F827" s="144" t="s">
        <v>1170</v>
      </c>
      <c r="H827" s="145">
        <f>1+1+1</f>
        <v>3</v>
      </c>
      <c r="K827" s="331"/>
      <c r="O827" s="1"/>
    </row>
    <row r="828" spans="2:15" s="12" customFormat="1">
      <c r="B828" s="146"/>
      <c r="D828" s="142" t="s">
        <v>95</v>
      </c>
      <c r="E828" s="147" t="s">
        <v>2</v>
      </c>
      <c r="F828" s="148" t="s">
        <v>96</v>
      </c>
      <c r="H828" s="149">
        <f>SUM(H827:H827)</f>
        <v>3</v>
      </c>
      <c r="K828" s="331"/>
      <c r="O828" s="1"/>
    </row>
    <row r="829" spans="2:15" s="165" customFormat="1" ht="22.9" customHeight="1">
      <c r="B829" s="262"/>
      <c r="C829" s="150">
        <f>C826+1</f>
        <v>196</v>
      </c>
      <c r="D829" s="150" t="s">
        <v>123</v>
      </c>
      <c r="E829" s="151" t="s">
        <v>717</v>
      </c>
      <c r="F829" s="323" t="s">
        <v>1176</v>
      </c>
      <c r="G829" s="150" t="s">
        <v>265</v>
      </c>
      <c r="H829" s="325">
        <f>H831</f>
        <v>2</v>
      </c>
      <c r="I829" s="91"/>
      <c r="J829" s="155">
        <f t="shared" si="14"/>
        <v>0</v>
      </c>
      <c r="K829" s="152"/>
      <c r="O829" s="310"/>
    </row>
    <row r="830" spans="2:15" s="11" customFormat="1">
      <c r="B830" s="141"/>
      <c r="D830" s="142" t="s">
        <v>95</v>
      </c>
      <c r="F830" s="144" t="s">
        <v>1178</v>
      </c>
      <c r="H830" s="145">
        <f>2</f>
        <v>2</v>
      </c>
      <c r="K830" s="331"/>
      <c r="O830" s="1"/>
    </row>
    <row r="831" spans="2:15" s="12" customFormat="1">
      <c r="B831" s="146"/>
      <c r="D831" s="142" t="s">
        <v>95</v>
      </c>
      <c r="E831" s="147" t="s">
        <v>2</v>
      </c>
      <c r="F831" s="148" t="s">
        <v>96</v>
      </c>
      <c r="H831" s="149">
        <f>SUM(H830:H830)</f>
        <v>2</v>
      </c>
      <c r="K831" s="331"/>
      <c r="O831" s="1"/>
    </row>
    <row r="832" spans="2:15" s="165" customFormat="1" ht="22.9" customHeight="1">
      <c r="B832" s="262"/>
      <c r="C832" s="150">
        <f>C829+1</f>
        <v>197</v>
      </c>
      <c r="D832" s="150" t="s">
        <v>123</v>
      </c>
      <c r="E832" s="151" t="s">
        <v>718</v>
      </c>
      <c r="F832" s="323" t="s">
        <v>1177</v>
      </c>
      <c r="G832" s="150" t="s">
        <v>265</v>
      </c>
      <c r="H832" s="325">
        <f>H834</f>
        <v>2</v>
      </c>
      <c r="I832" s="91"/>
      <c r="J832" s="155">
        <f t="shared" si="14"/>
        <v>0</v>
      </c>
      <c r="K832" s="152"/>
      <c r="O832" s="310"/>
    </row>
    <row r="833" spans="2:15" s="11" customFormat="1">
      <c r="B833" s="141"/>
      <c r="D833" s="142" t="s">
        <v>95</v>
      </c>
      <c r="F833" s="144" t="s">
        <v>1178</v>
      </c>
      <c r="H833" s="145">
        <f>2</f>
        <v>2</v>
      </c>
      <c r="K833" s="331"/>
      <c r="O833" s="1"/>
    </row>
    <row r="834" spans="2:15" s="12" customFormat="1">
      <c r="B834" s="146"/>
      <c r="D834" s="142" t="s">
        <v>95</v>
      </c>
      <c r="E834" s="147" t="s">
        <v>2</v>
      </c>
      <c r="F834" s="148" t="s">
        <v>96</v>
      </c>
      <c r="H834" s="149">
        <f>SUM(H833:H833)</f>
        <v>2</v>
      </c>
      <c r="K834" s="331"/>
      <c r="O834" s="1"/>
    </row>
    <row r="835" spans="2:15" s="165" customFormat="1" ht="22.9" customHeight="1">
      <c r="B835" s="262"/>
      <c r="C835" s="150">
        <f>C832+1</f>
        <v>198</v>
      </c>
      <c r="D835" s="150" t="s">
        <v>123</v>
      </c>
      <c r="E835" s="151" t="s">
        <v>719</v>
      </c>
      <c r="F835" s="323" t="s">
        <v>542</v>
      </c>
      <c r="G835" s="150" t="s">
        <v>265</v>
      </c>
      <c r="H835" s="325">
        <f>H837</f>
        <v>1</v>
      </c>
      <c r="I835" s="91"/>
      <c r="J835" s="155">
        <f t="shared" si="14"/>
        <v>0</v>
      </c>
      <c r="K835" s="152"/>
      <c r="O835" s="310"/>
    </row>
    <row r="836" spans="2:15" s="11" customFormat="1">
      <c r="B836" s="141"/>
      <c r="D836" s="142" t="s">
        <v>95</v>
      </c>
      <c r="F836" s="144" t="s">
        <v>1171</v>
      </c>
      <c r="H836" s="145">
        <f>1</f>
        <v>1</v>
      </c>
      <c r="K836" s="331"/>
      <c r="O836" s="1"/>
    </row>
    <row r="837" spans="2:15" s="12" customFormat="1">
      <c r="B837" s="146"/>
      <c r="D837" s="142" t="s">
        <v>95</v>
      </c>
      <c r="E837" s="147" t="s">
        <v>2</v>
      </c>
      <c r="F837" s="148" t="s">
        <v>96</v>
      </c>
      <c r="H837" s="149">
        <f>SUM(H836:H836)</f>
        <v>1</v>
      </c>
      <c r="K837" s="331"/>
      <c r="O837" s="1"/>
    </row>
    <row r="838" spans="2:15" s="165" customFormat="1" ht="22.9" customHeight="1">
      <c r="B838" s="262"/>
      <c r="C838" s="150">
        <f>C835+1</f>
        <v>199</v>
      </c>
      <c r="D838" s="150" t="s">
        <v>123</v>
      </c>
      <c r="E838" s="151" t="s">
        <v>720</v>
      </c>
      <c r="F838" s="323" t="s">
        <v>1179</v>
      </c>
      <c r="G838" s="150" t="s">
        <v>265</v>
      </c>
      <c r="H838" s="325">
        <f>H840</f>
        <v>2</v>
      </c>
      <c r="I838" s="91"/>
      <c r="J838" s="155">
        <f t="shared" si="14"/>
        <v>0</v>
      </c>
      <c r="K838" s="152"/>
      <c r="O838" s="310"/>
    </row>
    <row r="839" spans="2:15" s="11" customFormat="1">
      <c r="B839" s="141"/>
      <c r="D839" s="142" t="s">
        <v>95</v>
      </c>
      <c r="F839" s="144" t="s">
        <v>1178</v>
      </c>
      <c r="H839" s="145">
        <f>2</f>
        <v>2</v>
      </c>
      <c r="K839" s="331"/>
      <c r="O839" s="1"/>
    </row>
    <row r="840" spans="2:15" s="12" customFormat="1">
      <c r="B840" s="146"/>
      <c r="D840" s="142" t="s">
        <v>95</v>
      </c>
      <c r="E840" s="147" t="s">
        <v>2</v>
      </c>
      <c r="F840" s="148" t="s">
        <v>96</v>
      </c>
      <c r="H840" s="149">
        <f>SUM(H839:H839)</f>
        <v>2</v>
      </c>
      <c r="K840" s="331"/>
      <c r="O840" s="1"/>
    </row>
    <row r="841" spans="2:15" s="165" customFormat="1" ht="22.9" customHeight="1">
      <c r="B841" s="262"/>
      <c r="C841" s="150">
        <f>C838+1</f>
        <v>200</v>
      </c>
      <c r="D841" s="150" t="s">
        <v>123</v>
      </c>
      <c r="E841" s="151" t="s">
        <v>721</v>
      </c>
      <c r="F841" s="323" t="s">
        <v>1180</v>
      </c>
      <c r="G841" s="150" t="s">
        <v>265</v>
      </c>
      <c r="H841" s="325">
        <f>H843</f>
        <v>1</v>
      </c>
      <c r="I841" s="91"/>
      <c r="J841" s="155">
        <f t="shared" si="14"/>
        <v>0</v>
      </c>
      <c r="K841" s="152"/>
      <c r="O841" s="310"/>
    </row>
    <row r="842" spans="2:15" s="11" customFormat="1">
      <c r="B842" s="141"/>
      <c r="D842" s="142" t="s">
        <v>95</v>
      </c>
      <c r="F842" s="144" t="s">
        <v>1171</v>
      </c>
      <c r="H842" s="145">
        <f>1</f>
        <v>1</v>
      </c>
      <c r="K842" s="331"/>
      <c r="O842" s="1"/>
    </row>
    <row r="843" spans="2:15" s="12" customFormat="1">
      <c r="B843" s="146"/>
      <c r="D843" s="142" t="s">
        <v>95</v>
      </c>
      <c r="E843" s="147" t="s">
        <v>2</v>
      </c>
      <c r="F843" s="148" t="s">
        <v>96</v>
      </c>
      <c r="H843" s="149">
        <f>SUM(H842:H842)</f>
        <v>1</v>
      </c>
      <c r="K843" s="331"/>
      <c r="O843" s="1"/>
    </row>
    <row r="844" spans="2:15" s="165" customFormat="1" ht="22.9" customHeight="1">
      <c r="B844" s="262"/>
      <c r="C844" s="150">
        <f>C841+1</f>
        <v>201</v>
      </c>
      <c r="D844" s="150" t="s">
        <v>123</v>
      </c>
      <c r="E844" s="151" t="s">
        <v>722</v>
      </c>
      <c r="F844" s="323" t="s">
        <v>543</v>
      </c>
      <c r="G844" s="150" t="s">
        <v>265</v>
      </c>
      <c r="H844" s="325">
        <f>H846</f>
        <v>5</v>
      </c>
      <c r="I844" s="91"/>
      <c r="J844" s="155">
        <f t="shared" si="14"/>
        <v>0</v>
      </c>
      <c r="K844" s="152"/>
      <c r="O844" s="310"/>
    </row>
    <row r="845" spans="2:15" s="11" customFormat="1">
      <c r="B845" s="141"/>
      <c r="D845" s="142" t="s">
        <v>95</v>
      </c>
      <c r="F845" s="144" t="s">
        <v>1182</v>
      </c>
      <c r="H845" s="145">
        <f>5</f>
        <v>5</v>
      </c>
      <c r="K845" s="331"/>
      <c r="O845" s="1"/>
    </row>
    <row r="846" spans="2:15" s="12" customFormat="1">
      <c r="B846" s="146"/>
      <c r="D846" s="142" t="s">
        <v>95</v>
      </c>
      <c r="E846" s="147" t="s">
        <v>2</v>
      </c>
      <c r="F846" s="148" t="s">
        <v>96</v>
      </c>
      <c r="H846" s="149">
        <f>SUM(H845:H845)</f>
        <v>5</v>
      </c>
      <c r="K846" s="331"/>
      <c r="O846" s="1"/>
    </row>
    <row r="847" spans="2:15" s="165" customFormat="1" ht="22.9" customHeight="1">
      <c r="B847" s="262"/>
      <c r="C847" s="150">
        <f>C844+1</f>
        <v>202</v>
      </c>
      <c r="D847" s="150" t="s">
        <v>123</v>
      </c>
      <c r="E847" s="151" t="s">
        <v>723</v>
      </c>
      <c r="F847" s="323" t="s">
        <v>544</v>
      </c>
      <c r="G847" s="150" t="s">
        <v>265</v>
      </c>
      <c r="H847" s="325">
        <f>H849</f>
        <v>3</v>
      </c>
      <c r="I847" s="91"/>
      <c r="J847" s="155">
        <f t="shared" si="14"/>
        <v>0</v>
      </c>
      <c r="K847" s="152"/>
      <c r="O847" s="310"/>
    </row>
    <row r="848" spans="2:15" s="11" customFormat="1">
      <c r="B848" s="141"/>
      <c r="D848" s="142" t="s">
        <v>95</v>
      </c>
      <c r="F848" s="144" t="s">
        <v>1170</v>
      </c>
      <c r="H848" s="145">
        <f>3</f>
        <v>3</v>
      </c>
      <c r="K848" s="331"/>
      <c r="O848" s="1"/>
    </row>
    <row r="849" spans="2:15" s="12" customFormat="1">
      <c r="B849" s="146"/>
      <c r="D849" s="142" t="s">
        <v>95</v>
      </c>
      <c r="E849" s="147" t="s">
        <v>2</v>
      </c>
      <c r="F849" s="148" t="s">
        <v>96</v>
      </c>
      <c r="H849" s="149">
        <f>SUM(H848:H848)</f>
        <v>3</v>
      </c>
      <c r="K849" s="331"/>
      <c r="O849" s="1"/>
    </row>
    <row r="850" spans="2:15" s="165" customFormat="1" ht="22.9" customHeight="1">
      <c r="B850" s="262"/>
      <c r="C850" s="150">
        <f>C847+1</f>
        <v>203</v>
      </c>
      <c r="D850" s="150" t="s">
        <v>123</v>
      </c>
      <c r="E850" s="151" t="s">
        <v>724</v>
      </c>
      <c r="F850" s="323" t="s">
        <v>545</v>
      </c>
      <c r="G850" s="150" t="s">
        <v>265</v>
      </c>
      <c r="H850" s="325">
        <f>H852</f>
        <v>8</v>
      </c>
      <c r="I850" s="91"/>
      <c r="J850" s="155">
        <f t="shared" si="14"/>
        <v>0</v>
      </c>
      <c r="K850" s="152"/>
      <c r="O850" s="310"/>
    </row>
    <row r="851" spans="2:15" s="11" customFormat="1">
      <c r="B851" s="141"/>
      <c r="D851" s="142" t="s">
        <v>95</v>
      </c>
      <c r="F851" s="144" t="s">
        <v>1183</v>
      </c>
      <c r="H851" s="145">
        <f>8</f>
        <v>8</v>
      </c>
      <c r="K851" s="331"/>
      <c r="O851" s="1"/>
    </row>
    <row r="852" spans="2:15" s="12" customFormat="1">
      <c r="B852" s="146"/>
      <c r="D852" s="142" t="s">
        <v>95</v>
      </c>
      <c r="E852" s="147" t="s">
        <v>2</v>
      </c>
      <c r="F852" s="148" t="s">
        <v>96</v>
      </c>
      <c r="H852" s="149">
        <f>SUM(H851:H851)</f>
        <v>8</v>
      </c>
      <c r="K852" s="331"/>
      <c r="O852" s="1"/>
    </row>
    <row r="853" spans="2:15" s="165" customFormat="1" ht="22.9" customHeight="1">
      <c r="B853" s="262"/>
      <c r="C853" s="150">
        <f>C850+1</f>
        <v>204</v>
      </c>
      <c r="D853" s="150" t="s">
        <v>123</v>
      </c>
      <c r="E853" s="151" t="s">
        <v>725</v>
      </c>
      <c r="F853" s="323" t="s">
        <v>546</v>
      </c>
      <c r="G853" s="150" t="s">
        <v>181</v>
      </c>
      <c r="H853" s="325">
        <f>H855</f>
        <v>6</v>
      </c>
      <c r="I853" s="91"/>
      <c r="J853" s="155">
        <f t="shared" si="14"/>
        <v>0</v>
      </c>
      <c r="K853" s="152"/>
      <c r="O853" s="310"/>
    </row>
    <row r="854" spans="2:15" s="11" customFormat="1">
      <c r="B854" s="141"/>
      <c r="D854" s="142" t="s">
        <v>95</v>
      </c>
      <c r="F854" s="144" t="s">
        <v>1185</v>
      </c>
      <c r="H854" s="145">
        <f>6</f>
        <v>6</v>
      </c>
      <c r="K854" s="331"/>
      <c r="O854" s="1"/>
    </row>
    <row r="855" spans="2:15" s="12" customFormat="1">
      <c r="B855" s="146"/>
      <c r="D855" s="142" t="s">
        <v>95</v>
      </c>
      <c r="E855" s="147" t="s">
        <v>2</v>
      </c>
      <c r="F855" s="148" t="s">
        <v>96</v>
      </c>
      <c r="H855" s="149">
        <f>SUM(H854:H854)</f>
        <v>6</v>
      </c>
      <c r="K855" s="331"/>
      <c r="O855" s="1"/>
    </row>
    <row r="856" spans="2:15" s="165" customFormat="1" ht="22.9" customHeight="1">
      <c r="B856" s="262"/>
      <c r="C856" s="150">
        <f>C853+1</f>
        <v>205</v>
      </c>
      <c r="D856" s="150" t="s">
        <v>123</v>
      </c>
      <c r="E856" s="151" t="s">
        <v>726</v>
      </c>
      <c r="F856" s="323" t="s">
        <v>547</v>
      </c>
      <c r="G856" s="150" t="s">
        <v>181</v>
      </c>
      <c r="H856" s="325">
        <f>H858</f>
        <v>3</v>
      </c>
      <c r="I856" s="91"/>
      <c r="J856" s="155">
        <f t="shared" si="14"/>
        <v>0</v>
      </c>
      <c r="K856" s="152"/>
      <c r="O856" s="310"/>
    </row>
    <row r="857" spans="2:15" s="11" customFormat="1">
      <c r="B857" s="141"/>
      <c r="D857" s="142" t="s">
        <v>95</v>
      </c>
      <c r="F857" s="144" t="s">
        <v>1184</v>
      </c>
      <c r="H857" s="145">
        <f>3</f>
        <v>3</v>
      </c>
      <c r="K857" s="331"/>
      <c r="O857" s="1"/>
    </row>
    <row r="858" spans="2:15" s="12" customFormat="1">
      <c r="B858" s="146"/>
      <c r="D858" s="142" t="s">
        <v>95</v>
      </c>
      <c r="E858" s="147" t="s">
        <v>2</v>
      </c>
      <c r="F858" s="148" t="s">
        <v>96</v>
      </c>
      <c r="H858" s="149">
        <f>SUM(H857:H857)</f>
        <v>3</v>
      </c>
      <c r="K858" s="331"/>
      <c r="O858" s="1"/>
    </row>
    <row r="859" spans="2:15" s="165" customFormat="1" ht="22.9" customHeight="1">
      <c r="B859" s="262"/>
      <c r="C859" s="150">
        <f>C856+1</f>
        <v>206</v>
      </c>
      <c r="D859" s="150" t="s">
        <v>123</v>
      </c>
      <c r="E859" s="151" t="s">
        <v>727</v>
      </c>
      <c r="F859" s="323" t="s">
        <v>548</v>
      </c>
      <c r="G859" s="150" t="s">
        <v>155</v>
      </c>
      <c r="H859" s="325">
        <f>H861</f>
        <v>4</v>
      </c>
      <c r="I859" s="91"/>
      <c r="J859" s="155">
        <f t="shared" si="14"/>
        <v>0</v>
      </c>
      <c r="K859" s="152"/>
      <c r="O859" s="310"/>
    </row>
    <row r="860" spans="2:15" s="11" customFormat="1">
      <c r="B860" s="141"/>
      <c r="D860" s="142" t="s">
        <v>95</v>
      </c>
      <c r="F860" s="144" t="s">
        <v>1197</v>
      </c>
      <c r="H860" s="145">
        <f>4</f>
        <v>4</v>
      </c>
      <c r="K860" s="331"/>
      <c r="O860" s="1"/>
    </row>
    <row r="861" spans="2:15" s="12" customFormat="1">
      <c r="B861" s="146"/>
      <c r="D861" s="142" t="s">
        <v>95</v>
      </c>
      <c r="E861" s="147" t="s">
        <v>2</v>
      </c>
      <c r="F861" s="148" t="s">
        <v>96</v>
      </c>
      <c r="H861" s="149">
        <f>SUM(H860:H860)</f>
        <v>4</v>
      </c>
      <c r="K861" s="331"/>
      <c r="O861" s="1"/>
    </row>
    <row r="862" spans="2:15" s="165" customFormat="1" ht="22.9" customHeight="1">
      <c r="B862" s="262"/>
      <c r="C862" s="150">
        <f>C859+1</f>
        <v>207</v>
      </c>
      <c r="D862" s="150" t="s">
        <v>123</v>
      </c>
      <c r="E862" s="151" t="s">
        <v>728</v>
      </c>
      <c r="F862" s="323" t="s">
        <v>549</v>
      </c>
      <c r="G862" s="150" t="s">
        <v>265</v>
      </c>
      <c r="H862" s="325">
        <f>H864</f>
        <v>4</v>
      </c>
      <c r="I862" s="91"/>
      <c r="J862" s="155">
        <f t="shared" si="14"/>
        <v>0</v>
      </c>
      <c r="K862" s="152"/>
      <c r="O862" s="310"/>
    </row>
    <row r="863" spans="2:15" s="11" customFormat="1">
      <c r="B863" s="141"/>
      <c r="D863" s="142" t="s">
        <v>95</v>
      </c>
      <c r="F863" s="144" t="s">
        <v>1169</v>
      </c>
      <c r="H863" s="145">
        <f>4</f>
        <v>4</v>
      </c>
      <c r="K863" s="331"/>
      <c r="O863" s="1"/>
    </row>
    <row r="864" spans="2:15" s="12" customFormat="1">
      <c r="B864" s="146"/>
      <c r="D864" s="142" t="s">
        <v>95</v>
      </c>
      <c r="E864" s="147" t="s">
        <v>2</v>
      </c>
      <c r="F864" s="148" t="s">
        <v>96</v>
      </c>
      <c r="H864" s="149">
        <f>SUM(H863:H863)</f>
        <v>4</v>
      </c>
      <c r="K864" s="331"/>
      <c r="O864" s="1"/>
    </row>
    <row r="865" spans="2:15" s="165" customFormat="1" ht="22.9" customHeight="1">
      <c r="B865" s="262"/>
      <c r="C865" s="150">
        <f>C862+1</f>
        <v>208</v>
      </c>
      <c r="D865" s="150" t="s">
        <v>123</v>
      </c>
      <c r="E865" s="151" t="s">
        <v>729</v>
      </c>
      <c r="F865" s="323" t="s">
        <v>550</v>
      </c>
      <c r="G865" s="150" t="s">
        <v>265</v>
      </c>
      <c r="H865" s="325">
        <f>H867</f>
        <v>4</v>
      </c>
      <c r="I865" s="91"/>
      <c r="J865" s="155">
        <f t="shared" si="14"/>
        <v>0</v>
      </c>
      <c r="K865" s="152"/>
      <c r="O865" s="310"/>
    </row>
    <row r="866" spans="2:15" s="11" customFormat="1">
      <c r="B866" s="141"/>
      <c r="D866" s="142" t="s">
        <v>95</v>
      </c>
      <c r="F866" s="144" t="s">
        <v>1169</v>
      </c>
      <c r="H866" s="145">
        <f>4</f>
        <v>4</v>
      </c>
      <c r="K866" s="331"/>
      <c r="O866" s="1"/>
    </row>
    <row r="867" spans="2:15" s="12" customFormat="1">
      <c r="B867" s="146"/>
      <c r="D867" s="142" t="s">
        <v>95</v>
      </c>
      <c r="E867" s="147" t="s">
        <v>2</v>
      </c>
      <c r="F867" s="148" t="s">
        <v>96</v>
      </c>
      <c r="H867" s="149">
        <f>SUM(H866:H866)</f>
        <v>4</v>
      </c>
      <c r="K867" s="331"/>
      <c r="O867" s="1"/>
    </row>
    <row r="868" spans="2:15" s="165" customFormat="1" ht="22.9" customHeight="1">
      <c r="B868" s="262"/>
      <c r="C868" s="150">
        <f>C865+1</f>
        <v>209</v>
      </c>
      <c r="D868" s="150" t="s">
        <v>123</v>
      </c>
      <c r="E868" s="151" t="s">
        <v>730</v>
      </c>
      <c r="F868" s="323" t="s">
        <v>551</v>
      </c>
      <c r="G868" s="150" t="s">
        <v>265</v>
      </c>
      <c r="H868" s="325">
        <f>H870</f>
        <v>3</v>
      </c>
      <c r="I868" s="91"/>
      <c r="J868" s="155">
        <f t="shared" si="14"/>
        <v>0</v>
      </c>
      <c r="K868" s="152"/>
      <c r="O868" s="310"/>
    </row>
    <row r="869" spans="2:15" s="11" customFormat="1">
      <c r="B869" s="141"/>
      <c r="D869" s="142" t="s">
        <v>95</v>
      </c>
      <c r="F869" s="144" t="s">
        <v>1170</v>
      </c>
      <c r="H869" s="145">
        <f>3</f>
        <v>3</v>
      </c>
      <c r="K869" s="331"/>
      <c r="O869" s="1"/>
    </row>
    <row r="870" spans="2:15" s="12" customFormat="1">
      <c r="B870" s="146"/>
      <c r="D870" s="142" t="s">
        <v>95</v>
      </c>
      <c r="E870" s="147" t="s">
        <v>2</v>
      </c>
      <c r="F870" s="148" t="s">
        <v>96</v>
      </c>
      <c r="H870" s="149">
        <f>SUM(H869:H869)</f>
        <v>3</v>
      </c>
      <c r="K870" s="331"/>
      <c r="O870" s="1"/>
    </row>
    <row r="871" spans="2:15" s="165" customFormat="1" ht="22.9" customHeight="1">
      <c r="B871" s="262"/>
      <c r="C871" s="150">
        <f>C868+1</f>
        <v>210</v>
      </c>
      <c r="D871" s="150" t="s">
        <v>123</v>
      </c>
      <c r="E871" s="151" t="s">
        <v>731</v>
      </c>
      <c r="F871" s="323" t="s">
        <v>552</v>
      </c>
      <c r="G871" s="150" t="s">
        <v>155</v>
      </c>
      <c r="H871" s="325">
        <f>H873</f>
        <v>4.5</v>
      </c>
      <c r="I871" s="91"/>
      <c r="J871" s="155">
        <f t="shared" si="14"/>
        <v>0</v>
      </c>
      <c r="K871" s="152"/>
      <c r="O871" s="310"/>
    </row>
    <row r="872" spans="2:15" s="11" customFormat="1">
      <c r="B872" s="141"/>
      <c r="D872" s="142" t="s">
        <v>95</v>
      </c>
      <c r="F872" s="144" t="s">
        <v>1195</v>
      </c>
      <c r="H872" s="145">
        <f>4.5</f>
        <v>4.5</v>
      </c>
      <c r="K872" s="331"/>
      <c r="O872" s="1"/>
    </row>
    <row r="873" spans="2:15" s="12" customFormat="1">
      <c r="B873" s="146"/>
      <c r="D873" s="142" t="s">
        <v>95</v>
      </c>
      <c r="E873" s="147" t="s">
        <v>2</v>
      </c>
      <c r="F873" s="148" t="s">
        <v>96</v>
      </c>
      <c r="H873" s="149">
        <f>SUM(H872:H872)</f>
        <v>4.5</v>
      </c>
      <c r="K873" s="331"/>
      <c r="O873" s="1"/>
    </row>
    <row r="874" spans="2:15" s="165" customFormat="1" ht="22.9" customHeight="1">
      <c r="B874" s="262"/>
      <c r="C874" s="150">
        <f>C871+1</f>
        <v>211</v>
      </c>
      <c r="D874" s="150" t="s">
        <v>123</v>
      </c>
      <c r="E874" s="151" t="s">
        <v>1188</v>
      </c>
      <c r="F874" s="323" t="s">
        <v>553</v>
      </c>
      <c r="G874" s="150" t="s">
        <v>155</v>
      </c>
      <c r="H874" s="325">
        <f>H876</f>
        <v>9</v>
      </c>
      <c r="I874" s="91"/>
      <c r="J874" s="155">
        <f t="shared" si="14"/>
        <v>0</v>
      </c>
      <c r="K874" s="152"/>
      <c r="O874" s="310"/>
    </row>
    <row r="875" spans="2:15" s="11" customFormat="1">
      <c r="B875" s="141"/>
      <c r="D875" s="142" t="s">
        <v>95</v>
      </c>
      <c r="F875" s="144" t="s">
        <v>1196</v>
      </c>
      <c r="H875" s="145">
        <f>4.5*2</f>
        <v>9</v>
      </c>
      <c r="K875" s="331"/>
      <c r="O875" s="1"/>
    </row>
    <row r="876" spans="2:15" s="12" customFormat="1">
      <c r="B876" s="146"/>
      <c r="D876" s="142" t="s">
        <v>95</v>
      </c>
      <c r="E876" s="147" t="s">
        <v>2</v>
      </c>
      <c r="F876" s="148" t="s">
        <v>96</v>
      </c>
      <c r="H876" s="149">
        <f>SUM(H875:H875)</f>
        <v>9</v>
      </c>
      <c r="K876" s="331"/>
      <c r="O876" s="1"/>
    </row>
    <row r="877" spans="2:15" s="165" customFormat="1" ht="22.9" customHeight="1">
      <c r="B877" s="262"/>
      <c r="C877" s="150">
        <f>C874+1</f>
        <v>212</v>
      </c>
      <c r="D877" s="150" t="s">
        <v>123</v>
      </c>
      <c r="E877" s="151" t="s">
        <v>1189</v>
      </c>
      <c r="F877" s="323" t="s">
        <v>532</v>
      </c>
      <c r="G877" s="150" t="s">
        <v>261</v>
      </c>
      <c r="H877" s="155">
        <f>SUM(J799:J874)</f>
        <v>0</v>
      </c>
      <c r="I877" s="327"/>
      <c r="J877" s="155">
        <f>ROUND(I877%*H877,2)</f>
        <v>0</v>
      </c>
      <c r="K877" s="152"/>
      <c r="O877" s="310"/>
    </row>
    <row r="878" spans="2:15" s="10" customFormat="1" ht="29.85" customHeight="1">
      <c r="B878" s="128"/>
      <c r="D878" s="129"/>
      <c r="E878" s="330" t="s">
        <v>732</v>
      </c>
      <c r="F878" s="133" t="s">
        <v>1191</v>
      </c>
      <c r="G878" s="132"/>
      <c r="J878" s="134"/>
      <c r="O878"/>
    </row>
    <row r="879" spans="2:15" s="163" customFormat="1" ht="27">
      <c r="B879" s="254"/>
      <c r="C879" s="135">
        <f>C877+1</f>
        <v>213</v>
      </c>
      <c r="D879" s="135" t="s">
        <v>65</v>
      </c>
      <c r="E879" s="136" t="s">
        <v>733</v>
      </c>
      <c r="F879" s="273" t="s">
        <v>1863</v>
      </c>
      <c r="G879" s="258" t="s">
        <v>265</v>
      </c>
      <c r="H879" s="269">
        <f>H881</f>
        <v>2</v>
      </c>
      <c r="I879" s="281"/>
      <c r="J879" s="140">
        <f t="shared" ref="J879:J882" si="15">ROUND(I879*H879,2)</f>
        <v>0</v>
      </c>
      <c r="K879" s="137"/>
      <c r="O879" s="1"/>
    </row>
    <row r="880" spans="2:15" s="11" customFormat="1">
      <c r="B880" s="141"/>
      <c r="D880" s="142" t="s">
        <v>95</v>
      </c>
      <c r="F880" s="144" t="s">
        <v>1178</v>
      </c>
      <c r="H880" s="145">
        <f>2</f>
        <v>2</v>
      </c>
      <c r="O880" s="1"/>
    </row>
    <row r="881" spans="2:15" s="12" customFormat="1">
      <c r="B881" s="146"/>
      <c r="D881" s="142" t="s">
        <v>95</v>
      </c>
      <c r="E881" s="147" t="s">
        <v>2</v>
      </c>
      <c r="F881" s="148" t="s">
        <v>96</v>
      </c>
      <c r="H881" s="149">
        <f>SUM(H880:H880)</f>
        <v>2</v>
      </c>
      <c r="O881" s="1"/>
    </row>
    <row r="882" spans="2:15" s="163" customFormat="1" ht="22.9" customHeight="1">
      <c r="B882" s="254"/>
      <c r="C882" s="135">
        <f>C879+1</f>
        <v>214</v>
      </c>
      <c r="D882" s="135" t="s">
        <v>65</v>
      </c>
      <c r="E882" s="136" t="s">
        <v>734</v>
      </c>
      <c r="F882" s="270" t="s">
        <v>1190</v>
      </c>
      <c r="G882" s="258" t="s">
        <v>265</v>
      </c>
      <c r="H882" s="269">
        <v>1</v>
      </c>
      <c r="I882" s="281"/>
      <c r="J882" s="140">
        <f t="shared" si="15"/>
        <v>0</v>
      </c>
      <c r="K882" s="137"/>
      <c r="O882" s="1"/>
    </row>
    <row r="883" spans="2:15" s="11" customFormat="1">
      <c r="B883" s="141"/>
      <c r="D883" s="142" t="s">
        <v>95</v>
      </c>
      <c r="F883" s="144" t="s">
        <v>1171</v>
      </c>
      <c r="H883" s="145">
        <f>1</f>
        <v>1</v>
      </c>
      <c r="O883" s="1"/>
    </row>
    <row r="884" spans="2:15" s="12" customFormat="1">
      <c r="B884" s="146"/>
      <c r="D884" s="142" t="s">
        <v>95</v>
      </c>
      <c r="E884" s="147" t="s">
        <v>2</v>
      </c>
      <c r="F884" s="148" t="s">
        <v>96</v>
      </c>
      <c r="H884" s="149">
        <f>SUM(H883:H883)</f>
        <v>1</v>
      </c>
      <c r="O884" s="1"/>
    </row>
    <row r="885" spans="2:15" s="163" customFormat="1" ht="22.9" customHeight="1">
      <c r="B885" s="254"/>
      <c r="C885" s="135">
        <f>C882+1</f>
        <v>215</v>
      </c>
      <c r="D885" s="135" t="s">
        <v>65</v>
      </c>
      <c r="E885" s="136" t="s">
        <v>735</v>
      </c>
      <c r="F885" s="273" t="s">
        <v>1192</v>
      </c>
      <c r="G885" s="258" t="s">
        <v>265</v>
      </c>
      <c r="H885" s="269">
        <f>H888</f>
        <v>3</v>
      </c>
      <c r="I885" s="281"/>
      <c r="J885" s="140">
        <f t="shared" ref="J885" si="16">ROUND(I885*H885,2)</f>
        <v>0</v>
      </c>
      <c r="K885" s="137"/>
      <c r="O885" s="1"/>
    </row>
    <row r="886" spans="2:15" s="11" customFormat="1">
      <c r="B886" s="141"/>
      <c r="D886" s="142" t="s">
        <v>95</v>
      </c>
      <c r="F886" s="144" t="s">
        <v>1193</v>
      </c>
      <c r="H886" s="145">
        <f>2</f>
        <v>2</v>
      </c>
      <c r="O886" s="1"/>
    </row>
    <row r="887" spans="2:15" s="11" customFormat="1">
      <c r="B887" s="141"/>
      <c r="D887" s="142" t="s">
        <v>95</v>
      </c>
      <c r="F887" s="144" t="s">
        <v>1194</v>
      </c>
      <c r="H887" s="145">
        <f>1</f>
        <v>1</v>
      </c>
      <c r="O887" s="1"/>
    </row>
    <row r="888" spans="2:15" s="12" customFormat="1">
      <c r="B888" s="146"/>
      <c r="D888" s="142" t="s">
        <v>95</v>
      </c>
      <c r="E888" s="147" t="s">
        <v>2</v>
      </c>
      <c r="F888" s="148" t="s">
        <v>96</v>
      </c>
      <c r="H888" s="149">
        <f>SUM(H886:H887)</f>
        <v>3</v>
      </c>
      <c r="O888" s="1"/>
    </row>
    <row r="889" spans="2:15" s="163" customFormat="1" ht="22.9" customHeight="1">
      <c r="B889" s="254"/>
      <c r="C889" s="258">
        <f>C885+1</f>
        <v>216</v>
      </c>
      <c r="D889" s="258" t="s">
        <v>65</v>
      </c>
      <c r="E889" s="259" t="s">
        <v>736</v>
      </c>
      <c r="F889" s="270" t="s">
        <v>2526</v>
      </c>
      <c r="G889" s="258" t="s">
        <v>155</v>
      </c>
      <c r="H889" s="269">
        <f>H891</f>
        <v>28.5</v>
      </c>
      <c r="I889" s="281"/>
      <c r="J889" s="272">
        <f t="shared" ref="J889" si="17">ROUND(I889*H889,2)</f>
        <v>0</v>
      </c>
      <c r="K889" s="284"/>
    </row>
    <row r="890" spans="2:15" s="11" customFormat="1">
      <c r="B890" s="141"/>
      <c r="D890" s="142" t="s">
        <v>95</v>
      </c>
      <c r="F890" s="144" t="s">
        <v>1157</v>
      </c>
      <c r="H890" s="145">
        <f>28.5</f>
        <v>28.5</v>
      </c>
      <c r="K890" s="331"/>
      <c r="O890" s="1"/>
    </row>
    <row r="891" spans="2:15" s="12" customFormat="1">
      <c r="B891" s="146"/>
      <c r="D891" s="142" t="s">
        <v>95</v>
      </c>
      <c r="E891" s="147" t="s">
        <v>2</v>
      </c>
      <c r="F891" s="148" t="s">
        <v>96</v>
      </c>
      <c r="H891" s="149">
        <f>SUM(H890:H890)</f>
        <v>28.5</v>
      </c>
      <c r="K891" s="331"/>
      <c r="O891" s="1"/>
    </row>
    <row r="892" spans="2:15" s="163" customFormat="1" ht="22.9" customHeight="1">
      <c r="B892" s="254"/>
      <c r="C892" s="258">
        <f>C889+1</f>
        <v>217</v>
      </c>
      <c r="D892" s="258" t="s">
        <v>65</v>
      </c>
      <c r="E892" s="259" t="s">
        <v>737</v>
      </c>
      <c r="F892" s="270" t="s">
        <v>1221</v>
      </c>
      <c r="G892" s="258" t="s">
        <v>155</v>
      </c>
      <c r="H892" s="269">
        <f>H894</f>
        <v>79.86</v>
      </c>
      <c r="I892" s="281"/>
      <c r="J892" s="272">
        <f t="shared" ref="J892" si="18">ROUND(I892*H892,2)</f>
        <v>0</v>
      </c>
      <c r="K892" s="284"/>
    </row>
    <row r="893" spans="2:15" s="11" customFormat="1">
      <c r="B893" s="141"/>
      <c r="D893" s="142" t="s">
        <v>95</v>
      </c>
      <c r="F893" s="144" t="s">
        <v>1160</v>
      </c>
      <c r="H893" s="145">
        <f>(27.43+12.5)*2</f>
        <v>79.86</v>
      </c>
      <c r="K893" s="331"/>
      <c r="O893" s="1"/>
    </row>
    <row r="894" spans="2:15" s="12" customFormat="1">
      <c r="B894" s="146"/>
      <c r="D894" s="142" t="s">
        <v>95</v>
      </c>
      <c r="E894" s="147" t="s">
        <v>2</v>
      </c>
      <c r="F894" s="148" t="s">
        <v>96</v>
      </c>
      <c r="H894" s="149">
        <f>SUM(H893:H893)</f>
        <v>79.86</v>
      </c>
      <c r="K894" s="331"/>
      <c r="O894" s="1"/>
    </row>
    <row r="895" spans="2:15" s="163" customFormat="1" ht="22.9" customHeight="1">
      <c r="B895" s="254"/>
      <c r="C895" s="258">
        <f>C892+1</f>
        <v>218</v>
      </c>
      <c r="D895" s="258" t="s">
        <v>65</v>
      </c>
      <c r="E895" s="259" t="s">
        <v>738</v>
      </c>
      <c r="F895" s="270" t="s">
        <v>1222</v>
      </c>
      <c r="G895" s="258" t="s">
        <v>155</v>
      </c>
      <c r="H895" s="269">
        <f>H897</f>
        <v>88.18</v>
      </c>
      <c r="I895" s="281"/>
      <c r="J895" s="272">
        <f t="shared" ref="J895" si="19">ROUND(I895*H895,2)</f>
        <v>0</v>
      </c>
      <c r="K895" s="284"/>
    </row>
    <row r="896" spans="2:15" s="11" customFormat="1">
      <c r="B896" s="141"/>
      <c r="D896" s="142" t="s">
        <v>95</v>
      </c>
      <c r="F896" s="144" t="s">
        <v>1161</v>
      </c>
      <c r="H896" s="145">
        <f>(17.44+9.5+4.65+12.5)*2</f>
        <v>88.18</v>
      </c>
      <c r="K896" s="331"/>
      <c r="O896" s="1"/>
    </row>
    <row r="897" spans="2:15" s="12" customFormat="1">
      <c r="B897" s="146"/>
      <c r="D897" s="142" t="s">
        <v>95</v>
      </c>
      <c r="E897" s="147" t="s">
        <v>2</v>
      </c>
      <c r="F897" s="148" t="s">
        <v>96</v>
      </c>
      <c r="H897" s="149">
        <f>SUM(H896:H896)</f>
        <v>88.18</v>
      </c>
      <c r="K897" s="331"/>
      <c r="O897" s="1"/>
    </row>
    <row r="898" spans="2:15" s="163" customFormat="1" ht="22.9" customHeight="1">
      <c r="B898" s="254"/>
      <c r="C898" s="258">
        <f>C895+1</f>
        <v>219</v>
      </c>
      <c r="D898" s="258" t="s">
        <v>65</v>
      </c>
      <c r="E898" s="259" t="s">
        <v>739</v>
      </c>
      <c r="F898" s="270" t="s">
        <v>1223</v>
      </c>
      <c r="G898" s="258" t="s">
        <v>155</v>
      </c>
      <c r="H898" s="269">
        <f>H900</f>
        <v>59.88</v>
      </c>
      <c r="I898" s="281"/>
      <c r="J898" s="272">
        <f t="shared" ref="J898" si="20">ROUND(I898*H898,2)</f>
        <v>0</v>
      </c>
      <c r="K898" s="284"/>
    </row>
    <row r="899" spans="2:15" s="11" customFormat="1">
      <c r="B899" s="141"/>
      <c r="D899" s="142" t="s">
        <v>95</v>
      </c>
      <c r="F899" s="144" t="s">
        <v>1162</v>
      </c>
      <c r="H899" s="145">
        <f>(17.44+12.5)*2</f>
        <v>59.88</v>
      </c>
      <c r="K899" s="331"/>
      <c r="O899" s="1"/>
    </row>
    <row r="900" spans="2:15" s="12" customFormat="1">
      <c r="B900" s="146"/>
      <c r="D900" s="142" t="s">
        <v>95</v>
      </c>
      <c r="E900" s="147" t="s">
        <v>2</v>
      </c>
      <c r="F900" s="148" t="s">
        <v>96</v>
      </c>
      <c r="H900" s="149">
        <f>SUM(H899:H899)</f>
        <v>59.88</v>
      </c>
      <c r="K900" s="331"/>
      <c r="O900" s="1"/>
    </row>
    <row r="901" spans="2:15" s="163" customFormat="1" ht="22.9" customHeight="1">
      <c r="B901" s="254"/>
      <c r="C901" s="258">
        <f>C898+1</f>
        <v>220</v>
      </c>
      <c r="D901" s="258" t="s">
        <v>65</v>
      </c>
      <c r="E901" s="259" t="s">
        <v>740</v>
      </c>
      <c r="F901" s="270" t="s">
        <v>1224</v>
      </c>
      <c r="G901" s="258" t="s">
        <v>155</v>
      </c>
      <c r="H901" s="269">
        <f>H903</f>
        <v>28.5</v>
      </c>
      <c r="I901" s="281"/>
      <c r="J901" s="272">
        <f t="shared" ref="J901" si="21">ROUND(I901*H901,2)</f>
        <v>0</v>
      </c>
      <c r="K901" s="284"/>
    </row>
    <row r="902" spans="2:15" s="11" customFormat="1">
      <c r="B902" s="141"/>
      <c r="D902" s="142" t="s">
        <v>95</v>
      </c>
      <c r="F902" s="144" t="s">
        <v>1163</v>
      </c>
      <c r="H902" s="145">
        <f>28.5</f>
        <v>28.5</v>
      </c>
      <c r="K902" s="331"/>
      <c r="O902" s="1"/>
    </row>
    <row r="903" spans="2:15" s="12" customFormat="1">
      <c r="B903" s="146"/>
      <c r="D903" s="142" t="s">
        <v>95</v>
      </c>
      <c r="E903" s="147" t="s">
        <v>2</v>
      </c>
      <c r="F903" s="148" t="s">
        <v>96</v>
      </c>
      <c r="H903" s="149">
        <f>SUM(H902:H902)</f>
        <v>28.5</v>
      </c>
      <c r="K903" s="331"/>
      <c r="O903" s="1"/>
    </row>
    <row r="904" spans="2:15" s="163" customFormat="1" ht="22.9" customHeight="1">
      <c r="B904" s="254"/>
      <c r="C904" s="258">
        <f>C901+1</f>
        <v>221</v>
      </c>
      <c r="D904" s="258" t="s">
        <v>65</v>
      </c>
      <c r="E904" s="259" t="s">
        <v>741</v>
      </c>
      <c r="F904" s="270" t="s">
        <v>1225</v>
      </c>
      <c r="G904" s="258" t="s">
        <v>155</v>
      </c>
      <c r="H904" s="269">
        <f>H906</f>
        <v>64</v>
      </c>
      <c r="I904" s="281"/>
      <c r="J904" s="272">
        <f t="shared" ref="J904" si="22">ROUND(I904*H904,2)</f>
        <v>0</v>
      </c>
      <c r="K904" s="284"/>
    </row>
    <row r="905" spans="2:15" s="11" customFormat="1">
      <c r="B905" s="141"/>
      <c r="D905" s="142" t="s">
        <v>95</v>
      </c>
      <c r="F905" s="144" t="s">
        <v>1164</v>
      </c>
      <c r="H905" s="145">
        <f>64</f>
        <v>64</v>
      </c>
      <c r="O905" s="1"/>
    </row>
    <row r="906" spans="2:15" s="12" customFormat="1">
      <c r="B906" s="146"/>
      <c r="D906" s="142" t="s">
        <v>95</v>
      </c>
      <c r="E906" s="147" t="s">
        <v>2</v>
      </c>
      <c r="F906" s="148" t="s">
        <v>96</v>
      </c>
      <c r="H906" s="149">
        <f>SUM(H905:H905)</f>
        <v>64</v>
      </c>
      <c r="O906" s="1"/>
    </row>
    <row r="907" spans="2:15" s="163" customFormat="1" ht="22.9" customHeight="1">
      <c r="B907" s="254"/>
      <c r="C907" s="135">
        <f>C904+1</f>
        <v>222</v>
      </c>
      <c r="D907" s="135" t="s">
        <v>65</v>
      </c>
      <c r="E907" s="136" t="s">
        <v>742</v>
      </c>
      <c r="F907" s="270" t="s">
        <v>1226</v>
      </c>
      <c r="G907" s="258" t="s">
        <v>155</v>
      </c>
      <c r="H907" s="269">
        <f>H910</f>
        <v>13.5</v>
      </c>
      <c r="I907" s="281"/>
      <c r="J907" s="140">
        <f t="shared" ref="J907" si="23">ROUND(I907*H907,2)</f>
        <v>0</v>
      </c>
      <c r="K907" s="137"/>
      <c r="O907" s="1"/>
    </row>
    <row r="908" spans="2:15" s="11" customFormat="1">
      <c r="B908" s="141"/>
      <c r="D908" s="142" t="s">
        <v>95</v>
      </c>
      <c r="F908" s="144" t="s">
        <v>1198</v>
      </c>
      <c r="H908" s="145">
        <f>4.5</f>
        <v>4.5</v>
      </c>
      <c r="K908" s="331"/>
      <c r="O908" s="1"/>
    </row>
    <row r="909" spans="2:15" s="11" customFormat="1">
      <c r="B909" s="141"/>
      <c r="D909" s="142" t="s">
        <v>95</v>
      </c>
      <c r="F909" s="144" t="s">
        <v>1199</v>
      </c>
      <c r="H909" s="145">
        <f>4.5*2</f>
        <v>9</v>
      </c>
      <c r="K909" s="331"/>
      <c r="O909" s="1"/>
    </row>
    <row r="910" spans="2:15" s="12" customFormat="1">
      <c r="B910" s="146"/>
      <c r="D910" s="142" t="s">
        <v>95</v>
      </c>
      <c r="E910" s="147" t="s">
        <v>2</v>
      </c>
      <c r="F910" s="148" t="s">
        <v>96</v>
      </c>
      <c r="H910" s="149">
        <f>SUM(H908:H909)</f>
        <v>13.5</v>
      </c>
      <c r="K910" s="331"/>
      <c r="O910" s="1"/>
    </row>
    <row r="911" spans="2:15" s="163" customFormat="1" ht="22.9" customHeight="1">
      <c r="B911" s="254"/>
      <c r="C911" s="258">
        <f>C907+1</f>
        <v>223</v>
      </c>
      <c r="D911" s="258" t="s">
        <v>65</v>
      </c>
      <c r="E911" s="259" t="s">
        <v>743</v>
      </c>
      <c r="F911" s="270" t="s">
        <v>1227</v>
      </c>
      <c r="G911" s="258" t="s">
        <v>155</v>
      </c>
      <c r="H911" s="269">
        <f>H913</f>
        <v>4</v>
      </c>
      <c r="I911" s="281"/>
      <c r="J911" s="272">
        <f t="shared" ref="J911" si="24">ROUND(I911*H911,2)</f>
        <v>0</v>
      </c>
      <c r="K911" s="284"/>
    </row>
    <row r="912" spans="2:15" s="11" customFormat="1">
      <c r="B912" s="141"/>
      <c r="D912" s="142" t="s">
        <v>95</v>
      </c>
      <c r="F912" s="144" t="s">
        <v>1186</v>
      </c>
      <c r="H912" s="145">
        <f>4</f>
        <v>4</v>
      </c>
      <c r="K912" s="331"/>
      <c r="O912" s="1"/>
    </row>
    <row r="913" spans="2:15" s="12" customFormat="1">
      <c r="B913" s="146"/>
      <c r="D913" s="142" t="s">
        <v>95</v>
      </c>
      <c r="E913" s="147" t="s">
        <v>2</v>
      </c>
      <c r="F913" s="148" t="s">
        <v>96</v>
      </c>
      <c r="H913" s="149">
        <f>SUM(H912:H912)</f>
        <v>4</v>
      </c>
      <c r="K913" s="331"/>
      <c r="O913" s="1"/>
    </row>
    <row r="914" spans="2:15" s="163" customFormat="1" ht="22.9" customHeight="1">
      <c r="B914" s="254"/>
      <c r="C914" s="258">
        <f>C911+1</f>
        <v>224</v>
      </c>
      <c r="D914" s="258" t="s">
        <v>65</v>
      </c>
      <c r="E914" s="259" t="s">
        <v>744</v>
      </c>
      <c r="F914" s="270" t="s">
        <v>1200</v>
      </c>
      <c r="G914" s="258" t="s">
        <v>155</v>
      </c>
      <c r="H914" s="269">
        <f>H916</f>
        <v>4.5</v>
      </c>
      <c r="I914" s="281"/>
      <c r="J914" s="272">
        <f t="shared" ref="J914" si="25">ROUND(I914*H914,2)</f>
        <v>0</v>
      </c>
      <c r="K914" s="284"/>
    </row>
    <row r="915" spans="2:15" s="11" customFormat="1">
      <c r="B915" s="141"/>
      <c r="D915" s="142" t="s">
        <v>95</v>
      </c>
      <c r="F915" s="144" t="s">
        <v>1137</v>
      </c>
      <c r="H915" s="145">
        <f>4.5</f>
        <v>4.5</v>
      </c>
      <c r="K915" s="331"/>
      <c r="O915" s="1"/>
    </row>
    <row r="916" spans="2:15" s="12" customFormat="1">
      <c r="B916" s="146"/>
      <c r="D916" s="142" t="s">
        <v>95</v>
      </c>
      <c r="E916" s="147" t="s">
        <v>2</v>
      </c>
      <c r="F916" s="148" t="s">
        <v>96</v>
      </c>
      <c r="H916" s="149">
        <f>SUM(H915:H915)</f>
        <v>4.5</v>
      </c>
      <c r="K916" s="331"/>
      <c r="O916" s="1"/>
    </row>
    <row r="917" spans="2:15" s="163" customFormat="1" ht="22.9" customHeight="1">
      <c r="B917" s="254"/>
      <c r="C917" s="258">
        <f>C914+1</f>
        <v>225</v>
      </c>
      <c r="D917" s="258" t="s">
        <v>65</v>
      </c>
      <c r="E917" s="259" t="s">
        <v>745</v>
      </c>
      <c r="F917" s="270" t="s">
        <v>1201</v>
      </c>
      <c r="G917" s="258" t="s">
        <v>155</v>
      </c>
      <c r="H917" s="269">
        <f>H919</f>
        <v>9</v>
      </c>
      <c r="I917" s="281"/>
      <c r="J917" s="272">
        <f t="shared" ref="J917" si="26">ROUND(I917*H917,2)</f>
        <v>0</v>
      </c>
      <c r="K917" s="284"/>
    </row>
    <row r="918" spans="2:15" s="11" customFormat="1">
      <c r="B918" s="141"/>
      <c r="D918" s="142" t="s">
        <v>95</v>
      </c>
      <c r="F918" s="144" t="s">
        <v>1187</v>
      </c>
      <c r="H918" s="145">
        <f>4.5*2</f>
        <v>9</v>
      </c>
      <c r="K918" s="331"/>
      <c r="O918" s="1"/>
    </row>
    <row r="919" spans="2:15" s="12" customFormat="1">
      <c r="B919" s="146"/>
      <c r="D919" s="142" t="s">
        <v>95</v>
      </c>
      <c r="E919" s="147" t="s">
        <v>2</v>
      </c>
      <c r="F919" s="148" t="s">
        <v>96</v>
      </c>
      <c r="H919" s="149">
        <f>SUM(H918:H918)</f>
        <v>9</v>
      </c>
      <c r="K919" s="331"/>
      <c r="O919" s="1"/>
    </row>
    <row r="920" spans="2:15" s="163" customFormat="1" ht="22.9" customHeight="1">
      <c r="B920" s="254"/>
      <c r="C920" s="258">
        <f>C917+1</f>
        <v>226</v>
      </c>
      <c r="D920" s="258" t="s">
        <v>65</v>
      </c>
      <c r="E920" s="259" t="s">
        <v>746</v>
      </c>
      <c r="F920" s="270" t="s">
        <v>1202</v>
      </c>
      <c r="G920" s="258" t="s">
        <v>155</v>
      </c>
      <c r="H920" s="269">
        <f>H922</f>
        <v>4</v>
      </c>
      <c r="I920" s="281"/>
      <c r="J920" s="272">
        <f t="shared" ref="J920" si="27">ROUND(I920*H920,2)</f>
        <v>0</v>
      </c>
      <c r="K920" s="284"/>
    </row>
    <row r="921" spans="2:15" s="11" customFormat="1">
      <c r="B921" s="141"/>
      <c r="D921" s="142" t="s">
        <v>95</v>
      </c>
      <c r="F921" s="144" t="s">
        <v>1186</v>
      </c>
      <c r="H921" s="145">
        <f>4</f>
        <v>4</v>
      </c>
      <c r="K921" s="331"/>
      <c r="O921" s="1"/>
    </row>
    <row r="922" spans="2:15" s="12" customFormat="1">
      <c r="B922" s="146"/>
      <c r="D922" s="142" t="s">
        <v>95</v>
      </c>
      <c r="E922" s="147" t="s">
        <v>2</v>
      </c>
      <c r="F922" s="148" t="s">
        <v>96</v>
      </c>
      <c r="H922" s="149">
        <f>SUM(H921:H921)</f>
        <v>4</v>
      </c>
      <c r="K922" s="331"/>
      <c r="O922" s="1"/>
    </row>
    <row r="923" spans="2:15" s="163" customFormat="1" ht="22.9" customHeight="1">
      <c r="B923" s="254"/>
      <c r="C923" s="258">
        <f>C920+1</f>
        <v>227</v>
      </c>
      <c r="D923" s="258" t="s">
        <v>65</v>
      </c>
      <c r="E923" s="259" t="s">
        <v>1203</v>
      </c>
      <c r="F923" s="273" t="s">
        <v>1204</v>
      </c>
      <c r="G923" s="258" t="s">
        <v>265</v>
      </c>
      <c r="H923" s="269">
        <f>H925</f>
        <v>4</v>
      </c>
      <c r="I923" s="281"/>
      <c r="J923" s="272">
        <f t="shared" ref="J923" si="28">ROUND(I923*H923,2)</f>
        <v>0</v>
      </c>
      <c r="K923" s="284"/>
    </row>
    <row r="924" spans="2:15" s="11" customFormat="1">
      <c r="B924" s="141"/>
      <c r="D924" s="142" t="s">
        <v>95</v>
      </c>
      <c r="F924" s="144" t="s">
        <v>1169</v>
      </c>
      <c r="H924" s="145">
        <f>1+1+1+1</f>
        <v>4</v>
      </c>
      <c r="K924" s="331"/>
      <c r="O924" s="1"/>
    </row>
    <row r="925" spans="2:15" s="12" customFormat="1">
      <c r="B925" s="146"/>
      <c r="D925" s="142" t="s">
        <v>95</v>
      </c>
      <c r="E925" s="147" t="s">
        <v>2</v>
      </c>
      <c r="F925" s="148" t="s">
        <v>96</v>
      </c>
      <c r="H925" s="149">
        <f>SUM(H924:H924)</f>
        <v>4</v>
      </c>
      <c r="K925" s="331"/>
      <c r="O925" s="1"/>
    </row>
    <row r="926" spans="2:15" s="163" customFormat="1" ht="22.9" customHeight="1">
      <c r="B926" s="254"/>
      <c r="C926" s="258">
        <f>C923+1</f>
        <v>228</v>
      </c>
      <c r="D926" s="258" t="s">
        <v>65</v>
      </c>
      <c r="E926" s="259" t="s">
        <v>747</v>
      </c>
      <c r="F926" s="273" t="s">
        <v>1205</v>
      </c>
      <c r="G926" s="258" t="s">
        <v>265</v>
      </c>
      <c r="H926" s="269">
        <f>H928</f>
        <v>1</v>
      </c>
      <c r="I926" s="281"/>
      <c r="J926" s="272">
        <f t="shared" ref="J926" si="29">ROUND(I926*H926,2)</f>
        <v>0</v>
      </c>
      <c r="K926" s="284"/>
    </row>
    <row r="927" spans="2:15" s="11" customFormat="1">
      <c r="B927" s="141"/>
      <c r="D927" s="142" t="s">
        <v>95</v>
      </c>
      <c r="F927" s="144" t="s">
        <v>1171</v>
      </c>
      <c r="H927" s="145">
        <f>1</f>
        <v>1</v>
      </c>
      <c r="K927" s="331"/>
      <c r="O927" s="1"/>
    </row>
    <row r="928" spans="2:15" s="12" customFormat="1">
      <c r="B928" s="146"/>
      <c r="D928" s="142" t="s">
        <v>95</v>
      </c>
      <c r="E928" s="147" t="s">
        <v>2</v>
      </c>
      <c r="F928" s="148" t="s">
        <v>96</v>
      </c>
      <c r="H928" s="149">
        <f>SUM(H927:H927)</f>
        <v>1</v>
      </c>
      <c r="K928" s="331"/>
      <c r="O928" s="1"/>
    </row>
    <row r="929" spans="2:15" s="163" customFormat="1" ht="22.9" customHeight="1">
      <c r="B929" s="254"/>
      <c r="C929" s="258">
        <f>C926+1</f>
        <v>229</v>
      </c>
      <c r="D929" s="258" t="s">
        <v>65</v>
      </c>
      <c r="E929" s="259" t="s">
        <v>748</v>
      </c>
      <c r="F929" s="273" t="s">
        <v>1206</v>
      </c>
      <c r="G929" s="258" t="s">
        <v>265</v>
      </c>
      <c r="H929" s="269">
        <f>H931</f>
        <v>4</v>
      </c>
      <c r="I929" s="281"/>
      <c r="J929" s="272">
        <f t="shared" ref="J929" si="30">ROUND(I929*H929,2)</f>
        <v>0</v>
      </c>
      <c r="K929" s="284"/>
    </row>
    <row r="930" spans="2:15" s="11" customFormat="1">
      <c r="B930" s="141"/>
      <c r="D930" s="142" t="s">
        <v>95</v>
      </c>
      <c r="F930" s="144" t="s">
        <v>1169</v>
      </c>
      <c r="H930" s="145">
        <f>1+2+1</f>
        <v>4</v>
      </c>
      <c r="K930" s="331"/>
      <c r="O930" s="1"/>
    </row>
    <row r="931" spans="2:15" s="12" customFormat="1">
      <c r="B931" s="146"/>
      <c r="D931" s="142" t="s">
        <v>95</v>
      </c>
      <c r="E931" s="147" t="s">
        <v>2</v>
      </c>
      <c r="F931" s="148" t="s">
        <v>96</v>
      </c>
      <c r="H931" s="149">
        <f>SUM(H930:H930)</f>
        <v>4</v>
      </c>
      <c r="K931" s="331"/>
      <c r="O931" s="1"/>
    </row>
    <row r="932" spans="2:15" s="163" customFormat="1" ht="22.9" customHeight="1">
      <c r="B932" s="254"/>
      <c r="C932" s="258">
        <f>C929+1</f>
        <v>230</v>
      </c>
      <c r="D932" s="258" t="s">
        <v>65</v>
      </c>
      <c r="E932" s="259" t="s">
        <v>749</v>
      </c>
      <c r="F932" s="273" t="s">
        <v>1207</v>
      </c>
      <c r="G932" s="258" t="s">
        <v>265</v>
      </c>
      <c r="H932" s="269">
        <f>H934</f>
        <v>3</v>
      </c>
      <c r="I932" s="281"/>
      <c r="J932" s="272">
        <f t="shared" ref="J932" si="31">ROUND(I932*H932,2)</f>
        <v>0</v>
      </c>
      <c r="K932" s="284"/>
    </row>
    <row r="933" spans="2:15" s="11" customFormat="1">
      <c r="B933" s="141"/>
      <c r="D933" s="142" t="s">
        <v>95</v>
      </c>
      <c r="F933" s="144" t="s">
        <v>1170</v>
      </c>
      <c r="H933" s="145">
        <f>1+1+1</f>
        <v>3</v>
      </c>
      <c r="K933" s="331"/>
      <c r="O933" s="1"/>
    </row>
    <row r="934" spans="2:15" s="12" customFormat="1">
      <c r="B934" s="146"/>
      <c r="D934" s="142" t="s">
        <v>95</v>
      </c>
      <c r="E934" s="147" t="s">
        <v>2</v>
      </c>
      <c r="F934" s="148" t="s">
        <v>96</v>
      </c>
      <c r="H934" s="149">
        <f>SUM(H933:H933)</f>
        <v>3</v>
      </c>
      <c r="K934" s="331"/>
      <c r="O934" s="1"/>
    </row>
    <row r="935" spans="2:15" s="163" customFormat="1" ht="22.9" customHeight="1">
      <c r="B935" s="254"/>
      <c r="C935" s="258">
        <f>C932+1</f>
        <v>231</v>
      </c>
      <c r="D935" s="258" t="s">
        <v>65</v>
      </c>
      <c r="E935" s="259" t="s">
        <v>750</v>
      </c>
      <c r="F935" s="270" t="s">
        <v>1209</v>
      </c>
      <c r="G935" s="258" t="s">
        <v>265</v>
      </c>
      <c r="H935" s="269">
        <f>H937</f>
        <v>2</v>
      </c>
      <c r="I935" s="281"/>
      <c r="J935" s="272">
        <f t="shared" ref="J935" si="32">ROUND(I935*H935,2)</f>
        <v>0</v>
      </c>
      <c r="K935" s="284"/>
    </row>
    <row r="936" spans="2:15" s="11" customFormat="1">
      <c r="B936" s="141"/>
      <c r="D936" s="142" t="s">
        <v>95</v>
      </c>
      <c r="F936" s="144" t="s">
        <v>1178</v>
      </c>
      <c r="H936" s="145">
        <f>2</f>
        <v>2</v>
      </c>
      <c r="K936" s="331"/>
      <c r="O936" s="1"/>
    </row>
    <row r="937" spans="2:15" s="12" customFormat="1">
      <c r="B937" s="146"/>
      <c r="D937" s="142" t="s">
        <v>95</v>
      </c>
      <c r="E937" s="147" t="s">
        <v>2</v>
      </c>
      <c r="F937" s="148" t="s">
        <v>96</v>
      </c>
      <c r="H937" s="149">
        <f>SUM(H936:H936)</f>
        <v>2</v>
      </c>
      <c r="K937" s="331"/>
      <c r="O937" s="1"/>
    </row>
    <row r="938" spans="2:15" s="163" customFormat="1" ht="22.9" customHeight="1">
      <c r="B938" s="254"/>
      <c r="C938" s="258">
        <f>C935+1</f>
        <v>232</v>
      </c>
      <c r="D938" s="258" t="s">
        <v>65</v>
      </c>
      <c r="E938" s="259" t="s">
        <v>751</v>
      </c>
      <c r="F938" s="270" t="s">
        <v>1210</v>
      </c>
      <c r="G938" s="258" t="s">
        <v>265</v>
      </c>
      <c r="H938" s="269">
        <f>H940</f>
        <v>2</v>
      </c>
      <c r="I938" s="281"/>
      <c r="J938" s="272">
        <f t="shared" ref="J938" si="33">ROUND(I938*H938,2)</f>
        <v>0</v>
      </c>
      <c r="K938" s="284"/>
    </row>
    <row r="939" spans="2:15" s="11" customFormat="1">
      <c r="B939" s="141"/>
      <c r="D939" s="142" t="s">
        <v>95</v>
      </c>
      <c r="F939" s="144" t="s">
        <v>1178</v>
      </c>
      <c r="H939" s="145">
        <f>2</f>
        <v>2</v>
      </c>
      <c r="K939" s="331"/>
      <c r="O939" s="1"/>
    </row>
    <row r="940" spans="2:15" s="12" customFormat="1">
      <c r="B940" s="146"/>
      <c r="D940" s="142" t="s">
        <v>95</v>
      </c>
      <c r="E940" s="147" t="s">
        <v>2</v>
      </c>
      <c r="F940" s="148" t="s">
        <v>96</v>
      </c>
      <c r="H940" s="149">
        <f>SUM(H939:H939)</f>
        <v>2</v>
      </c>
      <c r="K940" s="331"/>
      <c r="O940" s="1"/>
    </row>
    <row r="941" spans="2:15" s="163" customFormat="1" ht="22.9" customHeight="1">
      <c r="B941" s="254"/>
      <c r="C941" s="258">
        <f>C938+1</f>
        <v>233</v>
      </c>
      <c r="D941" s="258" t="s">
        <v>65</v>
      </c>
      <c r="E941" s="259" t="s">
        <v>752</v>
      </c>
      <c r="F941" s="270" t="s">
        <v>1211</v>
      </c>
      <c r="G941" s="258" t="s">
        <v>265</v>
      </c>
      <c r="H941" s="269">
        <f>H943</f>
        <v>1</v>
      </c>
      <c r="I941" s="281"/>
      <c r="J941" s="272">
        <f t="shared" ref="J941" si="34">ROUND(I941*H941,2)</f>
        <v>0</v>
      </c>
      <c r="K941" s="284"/>
    </row>
    <row r="942" spans="2:15" s="11" customFormat="1">
      <c r="B942" s="141"/>
      <c r="D942" s="142" t="s">
        <v>95</v>
      </c>
      <c r="F942" s="144" t="s">
        <v>1171</v>
      </c>
      <c r="H942" s="145">
        <f>1</f>
        <v>1</v>
      </c>
      <c r="K942" s="331"/>
      <c r="O942" s="1"/>
    </row>
    <row r="943" spans="2:15" s="12" customFormat="1">
      <c r="B943" s="146"/>
      <c r="D943" s="142" t="s">
        <v>95</v>
      </c>
      <c r="E943" s="147" t="s">
        <v>2</v>
      </c>
      <c r="F943" s="148" t="s">
        <v>96</v>
      </c>
      <c r="H943" s="149">
        <f>SUM(H942:H942)</f>
        <v>1</v>
      </c>
      <c r="K943" s="331"/>
      <c r="O943" s="1"/>
    </row>
    <row r="944" spans="2:15" s="163" customFormat="1" ht="22.9" customHeight="1">
      <c r="B944" s="254"/>
      <c r="C944" s="258">
        <f>C941+1</f>
        <v>234</v>
      </c>
      <c r="D944" s="258" t="s">
        <v>65</v>
      </c>
      <c r="E944" s="259" t="s">
        <v>753</v>
      </c>
      <c r="F944" s="270" t="s">
        <v>1212</v>
      </c>
      <c r="G944" s="258" t="s">
        <v>265</v>
      </c>
      <c r="H944" s="269">
        <f>H946</f>
        <v>2</v>
      </c>
      <c r="I944" s="281"/>
      <c r="J944" s="272">
        <f t="shared" ref="J944" si="35">ROUND(I944*H944,2)</f>
        <v>0</v>
      </c>
      <c r="K944" s="284"/>
    </row>
    <row r="945" spans="2:15" s="11" customFormat="1">
      <c r="B945" s="141"/>
      <c r="D945" s="142" t="s">
        <v>95</v>
      </c>
      <c r="F945" s="144" t="s">
        <v>1178</v>
      </c>
      <c r="H945" s="145">
        <f>2</f>
        <v>2</v>
      </c>
      <c r="K945" s="331"/>
      <c r="O945" s="1"/>
    </row>
    <row r="946" spans="2:15" s="12" customFormat="1">
      <c r="B946" s="146"/>
      <c r="D946" s="142" t="s">
        <v>95</v>
      </c>
      <c r="E946" s="147" t="s">
        <v>2</v>
      </c>
      <c r="F946" s="148" t="s">
        <v>96</v>
      </c>
      <c r="H946" s="149">
        <f>SUM(H945:H945)</f>
        <v>2</v>
      </c>
      <c r="K946" s="331"/>
      <c r="O946" s="1"/>
    </row>
    <row r="947" spans="2:15" s="163" customFormat="1" ht="22.9" customHeight="1">
      <c r="B947" s="254"/>
      <c r="C947" s="258">
        <f>C944+1</f>
        <v>235</v>
      </c>
      <c r="D947" s="258" t="s">
        <v>65</v>
      </c>
      <c r="E947" s="259" t="s">
        <v>754</v>
      </c>
      <c r="F947" s="270" t="s">
        <v>1213</v>
      </c>
      <c r="G947" s="258" t="s">
        <v>265</v>
      </c>
      <c r="H947" s="269">
        <f>H949</f>
        <v>1</v>
      </c>
      <c r="I947" s="281"/>
      <c r="J947" s="272">
        <f t="shared" ref="J947" si="36">ROUND(I947*H947,2)</f>
        <v>0</v>
      </c>
      <c r="K947" s="284"/>
    </row>
    <row r="948" spans="2:15" s="11" customFormat="1">
      <c r="B948" s="141"/>
      <c r="D948" s="142" t="s">
        <v>95</v>
      </c>
      <c r="F948" s="144" t="s">
        <v>1171</v>
      </c>
      <c r="H948" s="145">
        <f>1</f>
        <v>1</v>
      </c>
      <c r="K948" s="331"/>
      <c r="O948" s="1"/>
    </row>
    <row r="949" spans="2:15" s="12" customFormat="1">
      <c r="B949" s="146"/>
      <c r="D949" s="142" t="s">
        <v>95</v>
      </c>
      <c r="E949" s="147" t="s">
        <v>2</v>
      </c>
      <c r="F949" s="148" t="s">
        <v>96</v>
      </c>
      <c r="H949" s="149">
        <f>SUM(H948:H948)</f>
        <v>1</v>
      </c>
      <c r="K949" s="331"/>
      <c r="O949" s="1"/>
    </row>
    <row r="950" spans="2:15" s="163" customFormat="1" ht="22.9" customHeight="1">
      <c r="B950" s="254"/>
      <c r="C950" s="258">
        <f>C947+1</f>
        <v>236</v>
      </c>
      <c r="D950" s="258" t="s">
        <v>65</v>
      </c>
      <c r="E950" s="259" t="s">
        <v>755</v>
      </c>
      <c r="F950" s="270" t="s">
        <v>1214</v>
      </c>
      <c r="G950" s="258" t="s">
        <v>265</v>
      </c>
      <c r="H950" s="269">
        <f>H952</f>
        <v>5</v>
      </c>
      <c r="I950" s="281"/>
      <c r="J950" s="272">
        <f t="shared" ref="J950" si="37">ROUND(I950*H950,2)</f>
        <v>0</v>
      </c>
      <c r="K950" s="284"/>
    </row>
    <row r="951" spans="2:15" s="11" customFormat="1">
      <c r="B951" s="141"/>
      <c r="D951" s="142" t="s">
        <v>95</v>
      </c>
      <c r="F951" s="144" t="s">
        <v>1182</v>
      </c>
      <c r="H951" s="145">
        <f>5</f>
        <v>5</v>
      </c>
      <c r="K951" s="331"/>
      <c r="O951" s="1"/>
    </row>
    <row r="952" spans="2:15" s="12" customFormat="1">
      <c r="B952" s="146"/>
      <c r="D952" s="142" t="s">
        <v>95</v>
      </c>
      <c r="E952" s="147" t="s">
        <v>2</v>
      </c>
      <c r="F952" s="148" t="s">
        <v>96</v>
      </c>
      <c r="H952" s="149">
        <f>SUM(H951:H951)</f>
        <v>5</v>
      </c>
      <c r="K952" s="331"/>
      <c r="O952" s="1"/>
    </row>
    <row r="953" spans="2:15" s="163" customFormat="1" ht="22.9" customHeight="1">
      <c r="B953" s="254"/>
      <c r="C953" s="258">
        <f>C950+1</f>
        <v>237</v>
      </c>
      <c r="D953" s="258" t="s">
        <v>65</v>
      </c>
      <c r="E953" s="259" t="s">
        <v>756</v>
      </c>
      <c r="F953" s="270" t="s">
        <v>1215</v>
      </c>
      <c r="G953" s="258" t="s">
        <v>265</v>
      </c>
      <c r="H953" s="269">
        <f>H955</f>
        <v>3</v>
      </c>
      <c r="I953" s="281"/>
      <c r="J953" s="272">
        <f t="shared" ref="J953" si="38">ROUND(I953*H953,2)</f>
        <v>0</v>
      </c>
      <c r="K953" s="284"/>
    </row>
    <row r="954" spans="2:15" s="11" customFormat="1">
      <c r="B954" s="141"/>
      <c r="D954" s="142" t="s">
        <v>95</v>
      </c>
      <c r="F954" s="144" t="s">
        <v>1170</v>
      </c>
      <c r="H954" s="145">
        <f>3</f>
        <v>3</v>
      </c>
      <c r="K954" s="331"/>
      <c r="O954" s="1"/>
    </row>
    <row r="955" spans="2:15" s="12" customFormat="1">
      <c r="B955" s="146"/>
      <c r="D955" s="142" t="s">
        <v>95</v>
      </c>
      <c r="E955" s="147" t="s">
        <v>2</v>
      </c>
      <c r="F955" s="148" t="s">
        <v>96</v>
      </c>
      <c r="H955" s="149">
        <f>SUM(H954:H954)</f>
        <v>3</v>
      </c>
      <c r="K955" s="331"/>
      <c r="O955" s="1"/>
    </row>
    <row r="956" spans="2:15" s="163" customFormat="1" ht="22.9" customHeight="1">
      <c r="B956" s="254"/>
      <c r="C956" s="258">
        <f>C953+1</f>
        <v>238</v>
      </c>
      <c r="D956" s="258" t="s">
        <v>65</v>
      </c>
      <c r="E956" s="259" t="s">
        <v>757</v>
      </c>
      <c r="F956" s="270" t="s">
        <v>1216</v>
      </c>
      <c r="G956" s="258" t="s">
        <v>265</v>
      </c>
      <c r="H956" s="269">
        <f>H958</f>
        <v>8</v>
      </c>
      <c r="I956" s="281"/>
      <c r="J956" s="272">
        <f t="shared" ref="J956" si="39">ROUND(I956*H956,2)</f>
        <v>0</v>
      </c>
      <c r="K956" s="284"/>
    </row>
    <row r="957" spans="2:15" s="11" customFormat="1">
      <c r="B957" s="141"/>
      <c r="D957" s="142" t="s">
        <v>95</v>
      </c>
      <c r="F957" s="144" t="s">
        <v>1183</v>
      </c>
      <c r="H957" s="145">
        <f>8</f>
        <v>8</v>
      </c>
      <c r="K957" s="331"/>
      <c r="O957" s="1"/>
    </row>
    <row r="958" spans="2:15" s="12" customFormat="1">
      <c r="B958" s="146"/>
      <c r="D958" s="142" t="s">
        <v>95</v>
      </c>
      <c r="E958" s="147" t="s">
        <v>2</v>
      </c>
      <c r="F958" s="148" t="s">
        <v>96</v>
      </c>
      <c r="H958" s="149">
        <f>SUM(H957:H957)</f>
        <v>8</v>
      </c>
      <c r="K958" s="331"/>
      <c r="O958" s="1"/>
    </row>
    <row r="959" spans="2:15" s="163" customFormat="1" ht="22.9" customHeight="1">
      <c r="B959" s="254"/>
      <c r="C959" s="258">
        <f>C956+1</f>
        <v>239</v>
      </c>
      <c r="D959" s="258" t="s">
        <v>65</v>
      </c>
      <c r="E959" s="259" t="s">
        <v>758</v>
      </c>
      <c r="F959" s="270" t="s">
        <v>1217</v>
      </c>
      <c r="G959" s="258" t="s">
        <v>181</v>
      </c>
      <c r="H959" s="269">
        <f>H961</f>
        <v>6</v>
      </c>
      <c r="I959" s="281"/>
      <c r="J959" s="272">
        <f t="shared" ref="J959" si="40">ROUND(I959*H959,2)</f>
        <v>0</v>
      </c>
      <c r="K959" s="284"/>
    </row>
    <row r="960" spans="2:15" s="11" customFormat="1">
      <c r="B960" s="141"/>
      <c r="D960" s="142" t="s">
        <v>95</v>
      </c>
      <c r="F960" s="144" t="s">
        <v>1185</v>
      </c>
      <c r="H960" s="145">
        <f>6</f>
        <v>6</v>
      </c>
      <c r="K960" s="331"/>
      <c r="O960" s="1"/>
    </row>
    <row r="961" spans="2:15" s="12" customFormat="1">
      <c r="B961" s="146"/>
      <c r="D961" s="142" t="s">
        <v>95</v>
      </c>
      <c r="E961" s="147" t="s">
        <v>2</v>
      </c>
      <c r="F961" s="148" t="s">
        <v>96</v>
      </c>
      <c r="H961" s="149">
        <f>SUM(H960:H960)</f>
        <v>6</v>
      </c>
      <c r="K961" s="331"/>
      <c r="O961" s="1"/>
    </row>
    <row r="962" spans="2:15" s="163" customFormat="1" ht="22.9" customHeight="1">
      <c r="B962" s="254"/>
      <c r="C962" s="258">
        <f>C959+1</f>
        <v>240</v>
      </c>
      <c r="D962" s="258" t="s">
        <v>65</v>
      </c>
      <c r="E962" s="259" t="s">
        <v>759</v>
      </c>
      <c r="F962" s="270" t="s">
        <v>1218</v>
      </c>
      <c r="G962" s="258" t="s">
        <v>181</v>
      </c>
      <c r="H962" s="269">
        <f>H964</f>
        <v>3</v>
      </c>
      <c r="I962" s="281"/>
      <c r="J962" s="272">
        <f t="shared" ref="J962" si="41">ROUND(I962*H962,2)</f>
        <v>0</v>
      </c>
      <c r="K962" s="284"/>
    </row>
    <row r="963" spans="2:15" s="11" customFormat="1">
      <c r="B963" s="141"/>
      <c r="D963" s="142" t="s">
        <v>95</v>
      </c>
      <c r="F963" s="144" t="s">
        <v>1184</v>
      </c>
      <c r="H963" s="145">
        <f>3</f>
        <v>3</v>
      </c>
      <c r="K963" s="331"/>
      <c r="O963" s="1"/>
    </row>
    <row r="964" spans="2:15" s="12" customFormat="1">
      <c r="B964" s="146"/>
      <c r="D964" s="142" t="s">
        <v>95</v>
      </c>
      <c r="E964" s="147" t="s">
        <v>2</v>
      </c>
      <c r="F964" s="148" t="s">
        <v>96</v>
      </c>
      <c r="H964" s="149">
        <f>SUM(H963:H963)</f>
        <v>3</v>
      </c>
      <c r="K964" s="331"/>
      <c r="O964" s="1"/>
    </row>
    <row r="965" spans="2:15" s="163" customFormat="1" ht="22.9" customHeight="1">
      <c r="B965" s="254"/>
      <c r="C965" s="258">
        <f>C962+1</f>
        <v>241</v>
      </c>
      <c r="D965" s="258" t="s">
        <v>65</v>
      </c>
      <c r="E965" s="259" t="s">
        <v>1208</v>
      </c>
      <c r="F965" s="270" t="s">
        <v>1219</v>
      </c>
      <c r="G965" s="258" t="s">
        <v>265</v>
      </c>
      <c r="H965" s="269">
        <f>H967</f>
        <v>3</v>
      </c>
      <c r="I965" s="281"/>
      <c r="J965" s="272">
        <f t="shared" ref="J965" si="42">ROUND(I965*H965,2)</f>
        <v>0</v>
      </c>
      <c r="K965" s="284"/>
    </row>
    <row r="966" spans="2:15" s="11" customFormat="1">
      <c r="B966" s="141"/>
      <c r="D966" s="142" t="s">
        <v>95</v>
      </c>
      <c r="F966" s="144" t="s">
        <v>1170</v>
      </c>
      <c r="H966" s="145">
        <f>3</f>
        <v>3</v>
      </c>
      <c r="K966" s="331"/>
      <c r="O966" s="1"/>
    </row>
    <row r="967" spans="2:15" s="12" customFormat="1">
      <c r="B967" s="146"/>
      <c r="D967" s="142" t="s">
        <v>95</v>
      </c>
      <c r="E967" s="147" t="s">
        <v>2</v>
      </c>
      <c r="F967" s="148" t="s">
        <v>96</v>
      </c>
      <c r="H967" s="149">
        <f>SUM(H966:H966)</f>
        <v>3</v>
      </c>
      <c r="K967" s="331"/>
      <c r="O967" s="1"/>
    </row>
    <row r="968" spans="2:15" s="163" customFormat="1" ht="22.9" customHeight="1">
      <c r="B968" s="254"/>
      <c r="C968" s="258">
        <f>C965+1</f>
        <v>242</v>
      </c>
      <c r="D968" s="135" t="s">
        <v>65</v>
      </c>
      <c r="E968" s="136" t="s">
        <v>1220</v>
      </c>
      <c r="F968" s="270" t="s">
        <v>1245</v>
      </c>
      <c r="G968" s="258" t="s">
        <v>265</v>
      </c>
      <c r="H968" s="269">
        <f>H970</f>
        <v>8</v>
      </c>
      <c r="I968" s="281"/>
      <c r="J968" s="140">
        <f t="shared" ref="J968" si="43">ROUND(I968*H968,2)</f>
        <v>0</v>
      </c>
      <c r="K968" s="137"/>
      <c r="O968" s="1"/>
    </row>
    <row r="969" spans="2:15" s="11" customFormat="1">
      <c r="B969" s="141"/>
      <c r="D969" s="142" t="s">
        <v>95</v>
      </c>
      <c r="F969" s="144" t="s">
        <v>1239</v>
      </c>
      <c r="H969" s="145">
        <f>8</f>
        <v>8</v>
      </c>
      <c r="K969" s="331"/>
      <c r="O969" s="1"/>
    </row>
    <row r="970" spans="2:15" s="12" customFormat="1">
      <c r="B970" s="146"/>
      <c r="D970" s="142" t="s">
        <v>95</v>
      </c>
      <c r="E970" s="147" t="s">
        <v>2</v>
      </c>
      <c r="F970" s="148" t="s">
        <v>96</v>
      </c>
      <c r="H970" s="149">
        <f>SUM(H969:H969)</f>
        <v>8</v>
      </c>
      <c r="K970" s="331"/>
      <c r="O970" s="1"/>
    </row>
    <row r="971" spans="2:15" s="163" customFormat="1" ht="22.9" customHeight="1">
      <c r="B971" s="254"/>
      <c r="C971" s="258">
        <f>C968+1</f>
        <v>243</v>
      </c>
      <c r="D971" s="135" t="s">
        <v>65</v>
      </c>
      <c r="E971" s="136" t="s">
        <v>1228</v>
      </c>
      <c r="F971" s="270" t="s">
        <v>1246</v>
      </c>
      <c r="G971" s="258" t="s">
        <v>265</v>
      </c>
      <c r="H971" s="269">
        <f>H980</f>
        <v>74</v>
      </c>
      <c r="I971" s="281"/>
      <c r="J971" s="140">
        <f t="shared" ref="J971" si="44">ROUND(I971*H971,2)</f>
        <v>0</v>
      </c>
      <c r="K971" s="137"/>
      <c r="O971" s="1"/>
    </row>
    <row r="972" spans="2:15" s="11" customFormat="1">
      <c r="B972" s="141"/>
      <c r="D972" s="142" t="s">
        <v>95</v>
      </c>
      <c r="F972" s="144" t="s">
        <v>1231</v>
      </c>
      <c r="H972" s="145">
        <f>20</f>
        <v>20</v>
      </c>
      <c r="K972" s="331"/>
      <c r="O972" s="1"/>
    </row>
    <row r="973" spans="2:15" s="11" customFormat="1">
      <c r="B973" s="141"/>
      <c r="D973" s="142" t="s">
        <v>95</v>
      </c>
      <c r="F973" s="144" t="s">
        <v>1232</v>
      </c>
      <c r="H973" s="145">
        <f>18</f>
        <v>18</v>
      </c>
      <c r="K973" s="331"/>
      <c r="O973" s="1"/>
    </row>
    <row r="974" spans="2:15" s="11" customFormat="1">
      <c r="B974" s="141"/>
      <c r="D974" s="142" t="s">
        <v>95</v>
      </c>
      <c r="F974" s="144" t="s">
        <v>1233</v>
      </c>
      <c r="H974" s="145">
        <f>10</f>
        <v>10</v>
      </c>
      <c r="K974" s="331"/>
      <c r="O974" s="1"/>
    </row>
    <row r="975" spans="2:15" s="11" customFormat="1">
      <c r="B975" s="141"/>
      <c r="D975" s="142" t="s">
        <v>95</v>
      </c>
      <c r="F975" s="144" t="s">
        <v>1234</v>
      </c>
      <c r="H975" s="145">
        <f>6</f>
        <v>6</v>
      </c>
      <c r="K975" s="331"/>
      <c r="O975" s="1"/>
    </row>
    <row r="976" spans="2:15" s="11" customFormat="1">
      <c r="B976" s="141"/>
      <c r="D976" s="142" t="s">
        <v>95</v>
      </c>
      <c r="F976" s="144" t="s">
        <v>1235</v>
      </c>
      <c r="H976" s="145">
        <f>12</f>
        <v>12</v>
      </c>
      <c r="O976" s="1"/>
    </row>
    <row r="977" spans="2:15" s="11" customFormat="1">
      <c r="B977" s="141"/>
      <c r="D977" s="142" t="s">
        <v>95</v>
      </c>
      <c r="F977" s="144" t="s">
        <v>1236</v>
      </c>
      <c r="H977" s="145">
        <f>2</f>
        <v>2</v>
      </c>
      <c r="K977" s="331"/>
      <c r="O977" s="1"/>
    </row>
    <row r="978" spans="2:15" s="11" customFormat="1">
      <c r="B978" s="141"/>
      <c r="D978" s="142" t="s">
        <v>95</v>
      </c>
      <c r="F978" s="144" t="s">
        <v>1237</v>
      </c>
      <c r="H978" s="145">
        <f>4</f>
        <v>4</v>
      </c>
      <c r="K978" s="331"/>
      <c r="O978" s="1"/>
    </row>
    <row r="979" spans="2:15" s="11" customFormat="1">
      <c r="B979" s="141"/>
      <c r="D979" s="142" t="s">
        <v>95</v>
      </c>
      <c r="F979" s="144" t="s">
        <v>1238</v>
      </c>
      <c r="H979" s="145">
        <f>2</f>
        <v>2</v>
      </c>
      <c r="K979" s="331"/>
      <c r="O979" s="1"/>
    </row>
    <row r="980" spans="2:15" s="12" customFormat="1">
      <c r="B980" s="146"/>
      <c r="D980" s="142" t="s">
        <v>95</v>
      </c>
      <c r="E980" s="147" t="s">
        <v>2</v>
      </c>
      <c r="F980" s="148" t="s">
        <v>96</v>
      </c>
      <c r="H980" s="149">
        <f>SUM(H972:H979)</f>
        <v>74</v>
      </c>
      <c r="K980" s="331"/>
      <c r="O980" s="1"/>
    </row>
    <row r="981" spans="2:15" s="163" customFormat="1" ht="22.9" customHeight="1">
      <c r="B981" s="254"/>
      <c r="C981" s="135">
        <f>C971+1</f>
        <v>244</v>
      </c>
      <c r="D981" s="135" t="s">
        <v>65</v>
      </c>
      <c r="E981" s="136" t="s">
        <v>1229</v>
      </c>
      <c r="F981" s="270" t="s">
        <v>554</v>
      </c>
      <c r="G981" s="258" t="s">
        <v>265</v>
      </c>
      <c r="H981" s="269">
        <f>H983</f>
        <v>12</v>
      </c>
      <c r="I981" s="281"/>
      <c r="J981" s="140">
        <f t="shared" ref="J981" si="45">ROUND(I981*H981,2)</f>
        <v>0</v>
      </c>
      <c r="K981" s="137"/>
      <c r="O981" s="1"/>
    </row>
    <row r="982" spans="2:15" s="11" customFormat="1">
      <c r="B982" s="141"/>
      <c r="D982" s="142" t="s">
        <v>95</v>
      </c>
      <c r="F982" s="144" t="s">
        <v>1240</v>
      </c>
      <c r="H982" s="145">
        <f>12</f>
        <v>12</v>
      </c>
      <c r="K982" s="331"/>
      <c r="O982" s="1"/>
    </row>
    <row r="983" spans="2:15" s="12" customFormat="1">
      <c r="B983" s="146"/>
      <c r="D983" s="142" t="s">
        <v>95</v>
      </c>
      <c r="E983" s="147" t="s">
        <v>2</v>
      </c>
      <c r="F983" s="148" t="s">
        <v>96</v>
      </c>
      <c r="H983" s="149">
        <f>SUM(H982:H982)</f>
        <v>12</v>
      </c>
      <c r="K983" s="331"/>
      <c r="O983" s="1"/>
    </row>
    <row r="984" spans="2:15" s="163" customFormat="1" ht="22.9" customHeight="1">
      <c r="B984" s="254"/>
      <c r="C984" s="135">
        <f>C981+1</f>
        <v>245</v>
      </c>
      <c r="D984" s="135" t="s">
        <v>65</v>
      </c>
      <c r="E984" s="136" t="s">
        <v>1230</v>
      </c>
      <c r="F984" s="270" t="s">
        <v>555</v>
      </c>
      <c r="G984" s="258" t="s">
        <v>265</v>
      </c>
      <c r="H984" s="269">
        <f>H986</f>
        <v>6</v>
      </c>
      <c r="I984" s="281"/>
      <c r="J984" s="140">
        <f t="shared" ref="J984" si="46">ROUND(I984*H984,2)</f>
        <v>0</v>
      </c>
      <c r="K984" s="137"/>
      <c r="O984" s="1"/>
    </row>
    <row r="985" spans="2:15" s="11" customFormat="1">
      <c r="B985" s="141"/>
      <c r="D985" s="142" t="s">
        <v>95</v>
      </c>
      <c r="F985" s="144" t="s">
        <v>1181</v>
      </c>
      <c r="H985" s="145">
        <f>6</f>
        <v>6</v>
      </c>
      <c r="K985" s="331"/>
      <c r="O985" s="1"/>
    </row>
    <row r="986" spans="2:15" s="12" customFormat="1">
      <c r="B986" s="146"/>
      <c r="D986" s="142" t="s">
        <v>95</v>
      </c>
      <c r="E986" s="147" t="s">
        <v>2</v>
      </c>
      <c r="F986" s="148" t="s">
        <v>96</v>
      </c>
      <c r="H986" s="149">
        <f>SUM(H985:H985)</f>
        <v>6</v>
      </c>
      <c r="K986" s="331"/>
      <c r="O986" s="1"/>
    </row>
    <row r="987" spans="2:15" s="163" customFormat="1" ht="22.9" customHeight="1">
      <c r="B987" s="254"/>
      <c r="C987" s="135">
        <f>C984+1</f>
        <v>246</v>
      </c>
      <c r="D987" s="135" t="s">
        <v>643</v>
      </c>
      <c r="E987" s="136" t="s">
        <v>1241</v>
      </c>
      <c r="F987" s="270" t="s">
        <v>1981</v>
      </c>
      <c r="G987" s="258" t="s">
        <v>261</v>
      </c>
      <c r="H987" s="272">
        <f>SUM(J879:J986)</f>
        <v>0</v>
      </c>
      <c r="I987" s="281"/>
      <c r="J987" s="140">
        <f>ROUND(I987%*H987,2)</f>
        <v>0</v>
      </c>
      <c r="K987" s="137"/>
      <c r="O987" s="1"/>
    </row>
    <row r="988" spans="2:15" s="10" customFormat="1" ht="29.85" customHeight="1">
      <c r="B988" s="128"/>
      <c r="D988" s="129"/>
      <c r="E988" s="248" t="s">
        <v>760</v>
      </c>
      <c r="F988" s="133" t="s">
        <v>1242</v>
      </c>
      <c r="G988" s="132"/>
      <c r="J988" s="134"/>
      <c r="O988"/>
    </row>
    <row r="989" spans="2:15" s="163" customFormat="1" ht="22.9" customHeight="1">
      <c r="B989" s="254"/>
      <c r="C989" s="135">
        <f>C987+1</f>
        <v>247</v>
      </c>
      <c r="D989" s="135" t="s">
        <v>65</v>
      </c>
      <c r="E989" s="136" t="s">
        <v>761</v>
      </c>
      <c r="F989" s="273" t="s">
        <v>1243</v>
      </c>
      <c r="G989" s="258" t="s">
        <v>265</v>
      </c>
      <c r="H989" s="269">
        <f>H991</f>
        <v>3</v>
      </c>
      <c r="I989" s="281"/>
      <c r="J989" s="140">
        <f t="shared" ref="J989:J998" si="47">ROUND(I989*H989,2)</f>
        <v>0</v>
      </c>
      <c r="K989" s="137"/>
      <c r="O989" s="1">
        <f>H989*0.055</f>
        <v>0.16500000000000001</v>
      </c>
    </row>
    <row r="990" spans="2:15" s="11" customFormat="1">
      <c r="B990" s="141"/>
      <c r="D990" s="142" t="s">
        <v>95</v>
      </c>
      <c r="F990" s="144" t="s">
        <v>1170</v>
      </c>
      <c r="H990" s="145">
        <f>3</f>
        <v>3</v>
      </c>
      <c r="K990" s="331"/>
      <c r="O990" s="1"/>
    </row>
    <row r="991" spans="2:15" s="12" customFormat="1">
      <c r="B991" s="146"/>
      <c r="D991" s="142" t="s">
        <v>95</v>
      </c>
      <c r="E991" s="147" t="s">
        <v>2</v>
      </c>
      <c r="F991" s="148" t="s">
        <v>96</v>
      </c>
      <c r="H991" s="149">
        <f>SUM(H990:H990)</f>
        <v>3</v>
      </c>
      <c r="K991" s="331"/>
      <c r="O991" s="1"/>
    </row>
    <row r="992" spans="2:15" s="163" customFormat="1" ht="22.9" customHeight="1">
      <c r="B992" s="254"/>
      <c r="C992" s="135">
        <f>C989+1</f>
        <v>248</v>
      </c>
      <c r="D992" s="135" t="s">
        <v>65</v>
      </c>
      <c r="E992" s="136" t="s">
        <v>762</v>
      </c>
      <c r="F992" s="273" t="s">
        <v>557</v>
      </c>
      <c r="G992" s="258" t="s">
        <v>265</v>
      </c>
      <c r="H992" s="269">
        <f>H994</f>
        <v>6</v>
      </c>
      <c r="I992" s="281"/>
      <c r="J992" s="140">
        <f t="shared" si="47"/>
        <v>0</v>
      </c>
      <c r="K992" s="137"/>
      <c r="O992" s="1">
        <f>H992*0.3*0.3*0.3*2.125</f>
        <v>0.34424999999999994</v>
      </c>
    </row>
    <row r="993" spans="2:15" s="11" customFormat="1">
      <c r="B993" s="141"/>
      <c r="D993" s="142" t="s">
        <v>95</v>
      </c>
      <c r="F993" s="144" t="s">
        <v>1181</v>
      </c>
      <c r="H993" s="145">
        <f>6</f>
        <v>6</v>
      </c>
      <c r="K993" s="331"/>
      <c r="O993" s="1"/>
    </row>
    <row r="994" spans="2:15" s="12" customFormat="1">
      <c r="B994" s="146"/>
      <c r="D994" s="142" t="s">
        <v>95</v>
      </c>
      <c r="E994" s="147" t="s">
        <v>2</v>
      </c>
      <c r="F994" s="148" t="s">
        <v>96</v>
      </c>
      <c r="H994" s="149">
        <f>SUM(H993:H993)</f>
        <v>6</v>
      </c>
      <c r="K994" s="331"/>
      <c r="O994" s="1"/>
    </row>
    <row r="995" spans="2:15" s="163" customFormat="1" ht="22.9" customHeight="1">
      <c r="B995" s="254"/>
      <c r="C995" s="135">
        <f>C992+1</f>
        <v>249</v>
      </c>
      <c r="D995" s="135" t="s">
        <v>65</v>
      </c>
      <c r="E995" s="136" t="s">
        <v>763</v>
      </c>
      <c r="F995" s="273" t="s">
        <v>1244</v>
      </c>
      <c r="G995" s="258" t="s">
        <v>265</v>
      </c>
      <c r="H995" s="269">
        <f>H997</f>
        <v>8</v>
      </c>
      <c r="I995" s="281"/>
      <c r="J995" s="140">
        <f t="shared" si="47"/>
        <v>0</v>
      </c>
      <c r="K995" s="137"/>
      <c r="O995" s="1">
        <f>H995*0.3*0.3*0.6*2.125</f>
        <v>0.91800000000000004</v>
      </c>
    </row>
    <row r="996" spans="2:15" s="11" customFormat="1">
      <c r="B996" s="141"/>
      <c r="D996" s="142" t="s">
        <v>95</v>
      </c>
      <c r="F996" s="144" t="s">
        <v>1183</v>
      </c>
      <c r="H996" s="145">
        <f>8</f>
        <v>8</v>
      </c>
      <c r="K996" s="331"/>
      <c r="O996" s="1"/>
    </row>
    <row r="997" spans="2:15" s="12" customFormat="1">
      <c r="B997" s="146"/>
      <c r="D997" s="142" t="s">
        <v>95</v>
      </c>
      <c r="E997" s="147" t="s">
        <v>2</v>
      </c>
      <c r="F997" s="148" t="s">
        <v>96</v>
      </c>
      <c r="H997" s="149">
        <f>SUM(H996:H996)</f>
        <v>8</v>
      </c>
      <c r="K997" s="331"/>
      <c r="O997" s="1"/>
    </row>
    <row r="998" spans="2:15" s="163" customFormat="1" ht="22.9" customHeight="1">
      <c r="B998" s="254"/>
      <c r="C998" s="135">
        <f>C995+1</f>
        <v>250</v>
      </c>
      <c r="D998" s="135" t="s">
        <v>65</v>
      </c>
      <c r="E998" s="136" t="s">
        <v>764</v>
      </c>
      <c r="F998" s="273" t="s">
        <v>558</v>
      </c>
      <c r="G998" s="258" t="s">
        <v>265</v>
      </c>
      <c r="H998" s="269">
        <f>H1000</f>
        <v>4</v>
      </c>
      <c r="I998" s="281"/>
      <c r="J998" s="140">
        <f t="shared" si="47"/>
        <v>0</v>
      </c>
      <c r="K998" s="137"/>
      <c r="O998" s="1">
        <f>H998*0.3*0.3*0.5*0.75</f>
        <v>0.13500000000000001</v>
      </c>
    </row>
    <row r="999" spans="2:15" s="11" customFormat="1">
      <c r="B999" s="141"/>
      <c r="D999" s="142" t="s">
        <v>95</v>
      </c>
      <c r="F999" s="144" t="s">
        <v>1169</v>
      </c>
      <c r="H999" s="145">
        <f>4</f>
        <v>4</v>
      </c>
      <c r="K999" s="331"/>
      <c r="O999" s="1"/>
    </row>
    <row r="1000" spans="2:15" s="12" customFormat="1">
      <c r="B1000" s="146"/>
      <c r="D1000" s="142" t="s">
        <v>95</v>
      </c>
      <c r="E1000" s="147" t="s">
        <v>2</v>
      </c>
      <c r="F1000" s="148" t="s">
        <v>96</v>
      </c>
      <c r="H1000" s="149">
        <f>SUM(H999:H999)</f>
        <v>4</v>
      </c>
      <c r="K1000" s="331"/>
      <c r="O1000" s="1"/>
    </row>
    <row r="1001" spans="2:15" s="163" customFormat="1" ht="22.9" customHeight="1">
      <c r="B1001" s="254"/>
      <c r="C1001" s="135">
        <f>C998+1</f>
        <v>251</v>
      </c>
      <c r="D1001" s="258" t="s">
        <v>65</v>
      </c>
      <c r="E1001" s="136" t="s">
        <v>765</v>
      </c>
      <c r="F1001" s="255" t="s">
        <v>567</v>
      </c>
      <c r="G1001" s="256" t="s">
        <v>101</v>
      </c>
      <c r="H1001" s="257">
        <f>H1003</f>
        <v>1.5620000000000001</v>
      </c>
      <c r="I1001" s="90"/>
      <c r="J1001" s="140">
        <f t="shared" ref="J1001" si="48">ROUND(I1001*H1001,2)</f>
        <v>0</v>
      </c>
      <c r="K1001" s="137"/>
      <c r="O1001" s="1"/>
    </row>
    <row r="1002" spans="2:15" s="11" customFormat="1">
      <c r="B1002" s="141"/>
      <c r="D1002" s="142" t="s">
        <v>95</v>
      </c>
      <c r="E1002" s="143" t="s">
        <v>2</v>
      </c>
      <c r="F1002" s="144" t="s">
        <v>1255</v>
      </c>
      <c r="H1002" s="145">
        <f>FLOOR(SUM(O989:O1000),0.001)</f>
        <v>1.5620000000000001</v>
      </c>
      <c r="O1002" s="1"/>
    </row>
    <row r="1003" spans="2:15" s="12" customFormat="1">
      <c r="B1003" s="146"/>
      <c r="D1003" s="142" t="s">
        <v>95</v>
      </c>
      <c r="E1003" s="147" t="s">
        <v>2</v>
      </c>
      <c r="F1003" s="148" t="s">
        <v>96</v>
      </c>
      <c r="H1003" s="149">
        <f>SUM(H1002:H1002)</f>
        <v>1.5620000000000001</v>
      </c>
      <c r="O1003" s="1"/>
    </row>
    <row r="1004" spans="2:15" s="163" customFormat="1" ht="22.9" customHeight="1">
      <c r="B1004" s="254"/>
      <c r="C1004" s="135">
        <f>C1001+1</f>
        <v>252</v>
      </c>
      <c r="D1004" s="258" t="s">
        <v>65</v>
      </c>
      <c r="E1004" s="136" t="s">
        <v>766</v>
      </c>
      <c r="F1004" s="255" t="s">
        <v>568</v>
      </c>
      <c r="G1004" s="256" t="s">
        <v>101</v>
      </c>
      <c r="H1004" s="257">
        <f>H1006</f>
        <v>7.8100000000000005</v>
      </c>
      <c r="I1004" s="90"/>
      <c r="J1004" s="140">
        <f t="shared" ref="J1004" si="49">ROUND(I1004*H1004,2)</f>
        <v>0</v>
      </c>
      <c r="K1004" s="137"/>
      <c r="O1004" s="1"/>
    </row>
    <row r="1005" spans="2:15" s="11" customFormat="1">
      <c r="B1005" s="141"/>
      <c r="D1005" s="142" t="s">
        <v>95</v>
      </c>
      <c r="E1005" s="143" t="s">
        <v>2</v>
      </c>
      <c r="F1005" s="144" t="s">
        <v>1256</v>
      </c>
      <c r="H1005" s="145">
        <f>H1003*5</f>
        <v>7.8100000000000005</v>
      </c>
      <c r="O1005" s="1"/>
    </row>
    <row r="1006" spans="2:15" s="12" customFormat="1">
      <c r="B1006" s="146"/>
      <c r="D1006" s="142" t="s">
        <v>95</v>
      </c>
      <c r="E1006" s="147" t="s">
        <v>2</v>
      </c>
      <c r="F1006" s="148" t="s">
        <v>96</v>
      </c>
      <c r="H1006" s="149">
        <f>SUM(H1005:H1005)</f>
        <v>7.8100000000000005</v>
      </c>
      <c r="O1006" s="1"/>
    </row>
    <row r="1007" spans="2:15" s="163" customFormat="1" ht="22.9" customHeight="1">
      <c r="B1007" s="254"/>
      <c r="C1007" s="135">
        <f>C1004+1</f>
        <v>253</v>
      </c>
      <c r="D1007" s="258" t="s">
        <v>65</v>
      </c>
      <c r="E1007" s="136" t="s">
        <v>767</v>
      </c>
      <c r="F1007" s="255" t="s">
        <v>569</v>
      </c>
      <c r="G1007" s="256" t="s">
        <v>101</v>
      </c>
      <c r="H1007" s="257">
        <f>H1009</f>
        <v>1.5620000000000001</v>
      </c>
      <c r="I1007" s="90"/>
      <c r="J1007" s="140">
        <f t="shared" ref="J1007" si="50">ROUND(I1007*H1007,2)</f>
        <v>0</v>
      </c>
      <c r="K1007" s="137"/>
      <c r="O1007" s="1"/>
    </row>
    <row r="1008" spans="2:15" s="11" customFormat="1">
      <c r="B1008" s="141"/>
      <c r="D1008" s="142" t="s">
        <v>95</v>
      </c>
      <c r="E1008" s="143" t="s">
        <v>2</v>
      </c>
      <c r="F1008" s="144" t="s">
        <v>1255</v>
      </c>
      <c r="H1008" s="145">
        <f>H1003</f>
        <v>1.5620000000000001</v>
      </c>
      <c r="O1008" s="1"/>
    </row>
    <row r="1009" spans="2:16" s="12" customFormat="1">
      <c r="B1009" s="146"/>
      <c r="D1009" s="142" t="s">
        <v>95</v>
      </c>
      <c r="E1009" s="147" t="s">
        <v>2</v>
      </c>
      <c r="F1009" s="148" t="s">
        <v>96</v>
      </c>
      <c r="H1009" s="149">
        <f>SUM(H1008:H1008)</f>
        <v>1.5620000000000001</v>
      </c>
      <c r="O1009" s="1"/>
    </row>
    <row r="1010" spans="2:16" s="163" customFormat="1" ht="22.9" customHeight="1">
      <c r="B1010" s="254"/>
      <c r="C1010" s="135">
        <f>C1007+1</f>
        <v>254</v>
      </c>
      <c r="D1010" s="258" t="s">
        <v>65</v>
      </c>
      <c r="E1010" s="136" t="s">
        <v>768</v>
      </c>
      <c r="F1010" s="255" t="s">
        <v>570</v>
      </c>
      <c r="G1010" s="256" t="s">
        <v>101</v>
      </c>
      <c r="H1010" s="257">
        <f>H1012</f>
        <v>29.678000000000001</v>
      </c>
      <c r="I1010" s="90"/>
      <c r="J1010" s="140">
        <f t="shared" ref="J1010" si="51">ROUND(I1010*H1010,2)</f>
        <v>0</v>
      </c>
      <c r="K1010" s="137"/>
      <c r="O1010" s="1"/>
    </row>
    <row r="1011" spans="2:16" s="11" customFormat="1">
      <c r="B1011" s="141"/>
      <c r="D1011" s="142" t="s">
        <v>95</v>
      </c>
      <c r="E1011" s="143" t="s">
        <v>2</v>
      </c>
      <c r="F1011" s="144" t="s">
        <v>1257</v>
      </c>
      <c r="H1011" s="145">
        <f>1.562*19</f>
        <v>29.678000000000001</v>
      </c>
      <c r="O1011" s="1"/>
    </row>
    <row r="1012" spans="2:16" s="12" customFormat="1">
      <c r="B1012" s="146"/>
      <c r="D1012" s="142" t="s">
        <v>95</v>
      </c>
      <c r="E1012" s="147" t="s">
        <v>2</v>
      </c>
      <c r="F1012" s="148" t="s">
        <v>96</v>
      </c>
      <c r="H1012" s="149">
        <f>SUM(H1011:H1011)</f>
        <v>29.678000000000001</v>
      </c>
      <c r="O1012" s="1"/>
    </row>
    <row r="1013" spans="2:16" s="163" customFormat="1" ht="22.9" customHeight="1">
      <c r="B1013" s="254"/>
      <c r="C1013" s="135">
        <f>C1010+1</f>
        <v>255</v>
      </c>
      <c r="D1013" s="258" t="s">
        <v>65</v>
      </c>
      <c r="E1013" s="136" t="s">
        <v>769</v>
      </c>
      <c r="F1013" s="255" t="s">
        <v>571</v>
      </c>
      <c r="G1013" s="256" t="s">
        <v>101</v>
      </c>
      <c r="H1013" s="257">
        <f>H1015</f>
        <v>1.5620000000000001</v>
      </c>
      <c r="I1013" s="90"/>
      <c r="J1013" s="140">
        <f t="shared" ref="J1013" si="52">ROUND(I1013*H1013,2)</f>
        <v>0</v>
      </c>
      <c r="K1013" s="137"/>
      <c r="O1013" s="1"/>
    </row>
    <row r="1014" spans="2:16" s="11" customFormat="1">
      <c r="B1014" s="141"/>
      <c r="D1014" s="142" t="s">
        <v>95</v>
      </c>
      <c r="E1014" s="143" t="s">
        <v>2</v>
      </c>
      <c r="F1014" s="144" t="s">
        <v>1255</v>
      </c>
      <c r="H1014" s="145">
        <f>H1008</f>
        <v>1.5620000000000001</v>
      </c>
      <c r="O1014" s="1"/>
    </row>
    <row r="1015" spans="2:16" s="12" customFormat="1">
      <c r="B1015" s="146"/>
      <c r="D1015" s="142" t="s">
        <v>95</v>
      </c>
      <c r="E1015" s="147" t="s">
        <v>2</v>
      </c>
      <c r="F1015" s="148" t="s">
        <v>96</v>
      </c>
      <c r="H1015" s="149">
        <f>SUM(H1014:H1014)</f>
        <v>1.5620000000000001</v>
      </c>
      <c r="O1015" s="1"/>
    </row>
    <row r="1016" spans="2:16" s="163" customFormat="1" ht="22.9" customHeight="1">
      <c r="B1016" s="254"/>
      <c r="C1016" s="135">
        <f>C1013+1</f>
        <v>256</v>
      </c>
      <c r="D1016" s="135" t="s">
        <v>643</v>
      </c>
      <c r="E1016" s="136" t="s">
        <v>770</v>
      </c>
      <c r="F1016" s="270" t="s">
        <v>556</v>
      </c>
      <c r="G1016" s="258" t="s">
        <v>261</v>
      </c>
      <c r="H1016" s="272">
        <f>SUM(J989:J998)</f>
        <v>0</v>
      </c>
      <c r="I1016" s="281"/>
      <c r="J1016" s="140">
        <f>ROUND(I1016%*H1016,2)</f>
        <v>0</v>
      </c>
      <c r="K1016" s="137"/>
      <c r="O1016" s="1"/>
    </row>
    <row r="1017" spans="2:16" s="10" customFormat="1" ht="29.85" customHeight="1">
      <c r="B1017" s="128"/>
      <c r="D1017" s="129" t="s">
        <v>39</v>
      </c>
      <c r="E1017" s="133">
        <v>755</v>
      </c>
      <c r="F1017" s="133" t="s">
        <v>1248</v>
      </c>
      <c r="J1017" s="134">
        <f>SUM(J1019:J1058)</f>
        <v>0</v>
      </c>
      <c r="O1017"/>
    </row>
    <row r="1018" spans="2:16" s="10" customFormat="1" ht="29.85" customHeight="1">
      <c r="B1018" s="128"/>
      <c r="D1018" s="129"/>
      <c r="E1018" s="330" t="s">
        <v>1267</v>
      </c>
      <c r="F1018" s="274" t="s">
        <v>1268</v>
      </c>
      <c r="J1018" s="134"/>
      <c r="O1018"/>
    </row>
    <row r="1019" spans="2:16" s="1" customFormat="1" ht="22.5" customHeight="1">
      <c r="B1019" s="39"/>
      <c r="C1019" s="135">
        <f>C1016+1</f>
        <v>257</v>
      </c>
      <c r="D1019" s="135" t="s">
        <v>65</v>
      </c>
      <c r="E1019" s="136" t="s">
        <v>1269</v>
      </c>
      <c r="F1019" s="137" t="s">
        <v>122</v>
      </c>
      <c r="G1019" s="138" t="s">
        <v>101</v>
      </c>
      <c r="H1019" s="139">
        <f>H1023</f>
        <v>0.91648000000000007</v>
      </c>
      <c r="I1019" s="90"/>
      <c r="J1019" s="140">
        <f>ROUND(I1019*H1019,2)</f>
        <v>0</v>
      </c>
      <c r="K1019" s="137"/>
      <c r="P1019" s="303"/>
    </row>
    <row r="1020" spans="2:16" s="11" customFormat="1">
      <c r="B1020" s="141"/>
      <c r="D1020" s="142" t="s">
        <v>95</v>
      </c>
      <c r="E1020" s="143" t="s">
        <v>2</v>
      </c>
      <c r="F1020" s="144" t="s">
        <v>1260</v>
      </c>
      <c r="H1020" s="145">
        <f>((18.8/1000)*12.55)*2</f>
        <v>0.47188000000000002</v>
      </c>
      <c r="O1020" s="1"/>
    </row>
    <row r="1021" spans="2:16" s="11" customFormat="1">
      <c r="B1021" s="141"/>
      <c r="D1021" s="142" t="s">
        <v>95</v>
      </c>
      <c r="E1021" s="143" t="s">
        <v>2</v>
      </c>
      <c r="F1021" s="144" t="s">
        <v>1259</v>
      </c>
      <c r="H1021" s="145">
        <f>((18.8/1000)*2)*6</f>
        <v>0.22560000000000002</v>
      </c>
      <c r="O1021" s="1"/>
    </row>
    <row r="1022" spans="2:16" s="11" customFormat="1">
      <c r="B1022" s="141"/>
      <c r="D1022" s="142" t="s">
        <v>95</v>
      </c>
      <c r="E1022" s="143" t="s">
        <v>2</v>
      </c>
      <c r="F1022" s="144" t="s">
        <v>1630</v>
      </c>
      <c r="H1022" s="145">
        <f>((21.9/1000)*2.5)*4</f>
        <v>0.219</v>
      </c>
      <c r="O1022" s="1"/>
    </row>
    <row r="1023" spans="2:16" s="12" customFormat="1">
      <c r="B1023" s="146"/>
      <c r="D1023" s="142" t="s">
        <v>95</v>
      </c>
      <c r="E1023" s="147" t="s">
        <v>2</v>
      </c>
      <c r="F1023" s="148" t="s">
        <v>96</v>
      </c>
      <c r="H1023" s="149">
        <f>SUM(H1020:H1022)</f>
        <v>0.91648000000000007</v>
      </c>
      <c r="O1023" s="1"/>
    </row>
    <row r="1024" spans="2:16" s="1" customFormat="1" ht="22.5" customHeight="1">
      <c r="B1024" s="39"/>
      <c r="C1024" s="135">
        <f>C1019+1</f>
        <v>258</v>
      </c>
      <c r="D1024" s="135" t="s">
        <v>65</v>
      </c>
      <c r="E1024" s="136" t="s">
        <v>1270</v>
      </c>
      <c r="F1024" s="137" t="s">
        <v>1263</v>
      </c>
      <c r="G1024" s="138" t="s">
        <v>101</v>
      </c>
      <c r="H1024" s="139">
        <f>H1028</f>
        <v>0.91648000000000007</v>
      </c>
      <c r="I1024" s="90"/>
      <c r="J1024" s="140">
        <f>ROUND(I1024*H1024,2)</f>
        <v>0</v>
      </c>
      <c r="K1024" s="137"/>
      <c r="P1024" s="303"/>
    </row>
    <row r="1025" spans="2:16" s="11" customFormat="1">
      <c r="B1025" s="141"/>
      <c r="D1025" s="142" t="s">
        <v>95</v>
      </c>
      <c r="E1025" s="143" t="s">
        <v>2</v>
      </c>
      <c r="F1025" s="144" t="s">
        <v>1260</v>
      </c>
      <c r="H1025" s="145">
        <f>((18.8/1000)*12.55)*2</f>
        <v>0.47188000000000002</v>
      </c>
      <c r="O1025" s="1"/>
    </row>
    <row r="1026" spans="2:16" s="11" customFormat="1">
      <c r="B1026" s="141"/>
      <c r="D1026" s="142" t="s">
        <v>95</v>
      </c>
      <c r="E1026" s="143" t="s">
        <v>2</v>
      </c>
      <c r="F1026" s="144" t="s">
        <v>1259</v>
      </c>
      <c r="H1026" s="145">
        <f>((18.8/1000)*2)*6</f>
        <v>0.22560000000000002</v>
      </c>
      <c r="O1026" s="1"/>
    </row>
    <row r="1027" spans="2:16" s="11" customFormat="1">
      <c r="B1027" s="141"/>
      <c r="D1027" s="142" t="s">
        <v>95</v>
      </c>
      <c r="E1027" s="143" t="s">
        <v>2</v>
      </c>
      <c r="F1027" s="144" t="s">
        <v>1630</v>
      </c>
      <c r="H1027" s="145">
        <f>((21.9/1000)*2.5)*4</f>
        <v>0.219</v>
      </c>
      <c r="O1027" s="1"/>
    </row>
    <row r="1028" spans="2:16" s="12" customFormat="1">
      <c r="B1028" s="146"/>
      <c r="D1028" s="142" t="s">
        <v>95</v>
      </c>
      <c r="E1028" s="147" t="s">
        <v>2</v>
      </c>
      <c r="F1028" s="148" t="s">
        <v>96</v>
      </c>
      <c r="H1028" s="149">
        <f>SUM(H1025:H1027)</f>
        <v>0.91648000000000007</v>
      </c>
      <c r="O1028" s="1"/>
    </row>
    <row r="1029" spans="2:16" s="1" customFormat="1" ht="22.5" customHeight="1">
      <c r="B1029" s="39"/>
      <c r="C1029" s="150">
        <f>C1024+1</f>
        <v>259</v>
      </c>
      <c r="D1029" s="150" t="s">
        <v>123</v>
      </c>
      <c r="E1029" s="151" t="s">
        <v>1271</v>
      </c>
      <c r="F1029" s="152" t="s">
        <v>1262</v>
      </c>
      <c r="G1029" s="153" t="s">
        <v>101</v>
      </c>
      <c r="H1029" s="154">
        <f>H1031</f>
        <v>1.0081280000000001</v>
      </c>
      <c r="I1029" s="91"/>
      <c r="J1029" s="155">
        <f>ROUND(I1029*H1029,2)</f>
        <v>0</v>
      </c>
      <c r="K1029" s="152"/>
      <c r="P1029" s="303"/>
    </row>
    <row r="1030" spans="2:16" s="11" customFormat="1">
      <c r="B1030" s="141"/>
      <c r="D1030" s="142" t="s">
        <v>95</v>
      </c>
      <c r="E1030" s="143" t="s">
        <v>2</v>
      </c>
      <c r="F1030" s="144" t="s">
        <v>1631</v>
      </c>
      <c r="H1030" s="145">
        <f>H1023*1.1</f>
        <v>1.0081280000000001</v>
      </c>
      <c r="O1030" s="1"/>
    </row>
    <row r="1031" spans="2:16" s="12" customFormat="1">
      <c r="B1031" s="146"/>
      <c r="D1031" s="142" t="s">
        <v>95</v>
      </c>
      <c r="E1031" s="147" t="s">
        <v>2</v>
      </c>
      <c r="F1031" s="148" t="s">
        <v>96</v>
      </c>
      <c r="H1031" s="149">
        <f>SUM(H1030:H1030)</f>
        <v>1.0081280000000001</v>
      </c>
      <c r="O1031" s="1"/>
    </row>
    <row r="1032" spans="2:16" s="1" customFormat="1" ht="22.5" customHeight="1">
      <c r="B1032" s="39"/>
      <c r="C1032" s="135">
        <f>C1029+1</f>
        <v>260</v>
      </c>
      <c r="D1032" s="135" t="s">
        <v>65</v>
      </c>
      <c r="E1032" s="136" t="s">
        <v>1272</v>
      </c>
      <c r="F1032" s="137" t="s">
        <v>1264</v>
      </c>
      <c r="G1032" s="138" t="s">
        <v>105</v>
      </c>
      <c r="H1032" s="139">
        <f>H1036</f>
        <v>31.366000000000003</v>
      </c>
      <c r="I1032" s="90"/>
      <c r="J1032" s="140">
        <f>ROUND(I1032*H1032,2)</f>
        <v>0</v>
      </c>
      <c r="K1032" s="137"/>
      <c r="P1032" s="303"/>
    </row>
    <row r="1033" spans="2:16" s="11" customFormat="1">
      <c r="B1033" s="141"/>
      <c r="D1033" s="142" t="s">
        <v>95</v>
      </c>
      <c r="E1033" s="143" t="s">
        <v>2</v>
      </c>
      <c r="F1033" s="144" t="s">
        <v>1266</v>
      </c>
      <c r="H1033" s="145">
        <f>((0.16*2+0.085*4)*12.55)*2</f>
        <v>16.566000000000003</v>
      </c>
      <c r="O1033" s="1"/>
    </row>
    <row r="1034" spans="2:16" s="11" customFormat="1">
      <c r="B1034" s="141"/>
      <c r="D1034" s="142" t="s">
        <v>95</v>
      </c>
      <c r="E1034" s="143" t="s">
        <v>2</v>
      </c>
      <c r="F1034" s="144" t="s">
        <v>1265</v>
      </c>
      <c r="H1034" s="145">
        <f>((0.16*2+0.085*4)*2)*6</f>
        <v>7.92</v>
      </c>
      <c r="O1034" s="1"/>
    </row>
    <row r="1035" spans="2:16" s="11" customFormat="1">
      <c r="B1035" s="141"/>
      <c r="D1035" s="142" t="s">
        <v>95</v>
      </c>
      <c r="E1035" s="143" t="s">
        <v>2</v>
      </c>
      <c r="F1035" s="144" t="s">
        <v>1632</v>
      </c>
      <c r="H1035" s="145">
        <f>((0.18*2+0.082*4)*2.5)*4</f>
        <v>6.879999999999999</v>
      </c>
      <c r="O1035" s="1"/>
    </row>
    <row r="1036" spans="2:16" s="12" customFormat="1">
      <c r="B1036" s="146"/>
      <c r="D1036" s="142" t="s">
        <v>95</v>
      </c>
      <c r="E1036" s="147" t="s">
        <v>2</v>
      </c>
      <c r="F1036" s="148" t="s">
        <v>96</v>
      </c>
      <c r="H1036" s="149">
        <f>SUM(H1033:H1035)</f>
        <v>31.366000000000003</v>
      </c>
      <c r="O1036" s="1"/>
    </row>
    <row r="1037" spans="2:16" s="1" customFormat="1" ht="22.15" customHeight="1">
      <c r="B1037" s="39"/>
      <c r="C1037" s="135">
        <f>C1032+1</f>
        <v>261</v>
      </c>
      <c r="D1037" s="135" t="s">
        <v>65</v>
      </c>
      <c r="E1037" s="136" t="s">
        <v>1273</v>
      </c>
      <c r="F1037" s="137" t="s">
        <v>187</v>
      </c>
      <c r="G1037" s="138" t="s">
        <v>105</v>
      </c>
      <c r="H1037" s="139">
        <f>H1039</f>
        <v>91.13</v>
      </c>
      <c r="I1037" s="90"/>
      <c r="J1037" s="140">
        <f>ROUND(I1037*H1037,2)</f>
        <v>0</v>
      </c>
      <c r="K1037" s="137"/>
    </row>
    <row r="1038" spans="2:16" s="11" customFormat="1" ht="40.5">
      <c r="B1038" s="141"/>
      <c r="D1038" s="142" t="s">
        <v>95</v>
      </c>
      <c r="E1038" s="143" t="s">
        <v>2</v>
      </c>
      <c r="F1038" s="144" t="s">
        <v>2523</v>
      </c>
      <c r="H1038" s="145">
        <f>(2-0.25+2.255-0.25-0.25+2-0.25+2.255-0.25-0.25)*(12.5+0.5)</f>
        <v>91.13</v>
      </c>
      <c r="O1038" s="1"/>
    </row>
    <row r="1039" spans="2:16" s="12" customFormat="1">
      <c r="B1039" s="146"/>
      <c r="D1039" s="142" t="s">
        <v>95</v>
      </c>
      <c r="E1039" s="147" t="s">
        <v>2</v>
      </c>
      <c r="F1039" s="148" t="s">
        <v>96</v>
      </c>
      <c r="H1039" s="149">
        <f>SUM(H1038:H1038)</f>
        <v>91.13</v>
      </c>
      <c r="O1039" s="1"/>
    </row>
    <row r="1040" spans="2:16" s="1" customFormat="1" ht="28.15" customHeight="1">
      <c r="B1040" s="39"/>
      <c r="C1040" s="135">
        <f>C1037+1</f>
        <v>262</v>
      </c>
      <c r="D1040" s="135" t="s">
        <v>65</v>
      </c>
      <c r="E1040" s="136" t="s">
        <v>1284</v>
      </c>
      <c r="F1040" s="137" t="s">
        <v>189</v>
      </c>
      <c r="G1040" s="138" t="s">
        <v>105</v>
      </c>
      <c r="H1040" s="139">
        <f>H1042</f>
        <v>2733.8999999999996</v>
      </c>
      <c r="I1040" s="90"/>
      <c r="J1040" s="140">
        <f>ROUND(I1040*H1040,2)</f>
        <v>0</v>
      </c>
      <c r="K1040" s="137"/>
    </row>
    <row r="1041" spans="2:16" s="11" customFormat="1">
      <c r="B1041" s="141"/>
      <c r="D1041" s="142" t="s">
        <v>95</v>
      </c>
      <c r="F1041" s="144" t="s">
        <v>2524</v>
      </c>
      <c r="H1041" s="145">
        <f>91.13*30</f>
        <v>2733.8999999999996</v>
      </c>
      <c r="O1041" s="1"/>
    </row>
    <row r="1042" spans="2:16" s="12" customFormat="1">
      <c r="B1042" s="146"/>
      <c r="D1042" s="142" t="s">
        <v>95</v>
      </c>
      <c r="E1042" s="147" t="s">
        <v>2</v>
      </c>
      <c r="F1042" s="148" t="s">
        <v>96</v>
      </c>
      <c r="H1042" s="149">
        <f>SUM(H1041:H1041)</f>
        <v>2733.8999999999996</v>
      </c>
      <c r="O1042" s="1"/>
    </row>
    <row r="1043" spans="2:16" s="1" customFormat="1" ht="28.15" customHeight="1">
      <c r="B1043" s="39"/>
      <c r="C1043" s="135">
        <f>C1040+1</f>
        <v>263</v>
      </c>
      <c r="D1043" s="135" t="s">
        <v>65</v>
      </c>
      <c r="E1043" s="136" t="s">
        <v>1285</v>
      </c>
      <c r="F1043" s="137" t="s">
        <v>191</v>
      </c>
      <c r="G1043" s="138" t="s">
        <v>105</v>
      </c>
      <c r="H1043" s="139">
        <f>H1045</f>
        <v>91.13</v>
      </c>
      <c r="I1043" s="90"/>
      <c r="J1043" s="140">
        <f>ROUND(I1043*H1043,2)</f>
        <v>0</v>
      </c>
      <c r="K1043" s="137"/>
    </row>
    <row r="1044" spans="2:16" s="11" customFormat="1" ht="40.5">
      <c r="B1044" s="141"/>
      <c r="D1044" s="142" t="s">
        <v>95</v>
      </c>
      <c r="E1044" s="143" t="s">
        <v>2</v>
      </c>
      <c r="F1044" s="144" t="s">
        <v>2523</v>
      </c>
      <c r="H1044" s="145">
        <f>(2-0.25+2.255-0.25-0.25+2-0.25+2.255-0.25-0.25)*(12.5+0.5)</f>
        <v>91.13</v>
      </c>
      <c r="O1044" s="1"/>
    </row>
    <row r="1045" spans="2:16" s="12" customFormat="1">
      <c r="B1045" s="146"/>
      <c r="D1045" s="142" t="s">
        <v>95</v>
      </c>
      <c r="E1045" s="147" t="s">
        <v>2</v>
      </c>
      <c r="F1045" s="148" t="s">
        <v>96</v>
      </c>
      <c r="H1045" s="149">
        <f>SUM(H1044:H1044)</f>
        <v>91.13</v>
      </c>
      <c r="O1045" s="1"/>
    </row>
    <row r="1046" spans="2:16" s="1" customFormat="1" ht="22.9" customHeight="1">
      <c r="B1046" s="39"/>
      <c r="C1046" s="135">
        <f>C1043+1</f>
        <v>264</v>
      </c>
      <c r="D1046" s="135" t="s">
        <v>643</v>
      </c>
      <c r="E1046" s="136" t="s">
        <v>1286</v>
      </c>
      <c r="F1046" s="137" t="s">
        <v>1258</v>
      </c>
      <c r="G1046" s="138" t="s">
        <v>261</v>
      </c>
      <c r="H1046" s="140">
        <f>J1050+J1053+J1056</f>
        <v>0</v>
      </c>
      <c r="I1046" s="90"/>
      <c r="J1046" s="140">
        <f>ROUND(I1046%*H1046,2)</f>
        <v>0</v>
      </c>
      <c r="K1046" s="137"/>
    </row>
    <row r="1047" spans="2:16" s="1" customFormat="1" ht="22.9" customHeight="1">
      <c r="B1047" s="39"/>
      <c r="C1047" s="135">
        <f>C1046+1</f>
        <v>265</v>
      </c>
      <c r="D1047" s="135" t="s">
        <v>643</v>
      </c>
      <c r="E1047" s="136" t="s">
        <v>1287</v>
      </c>
      <c r="F1047" s="137" t="s">
        <v>1280</v>
      </c>
      <c r="G1047" s="138" t="s">
        <v>261</v>
      </c>
      <c r="H1047" s="140">
        <f>SUM(J1019:J1045)</f>
        <v>0</v>
      </c>
      <c r="I1047" s="90"/>
      <c r="J1047" s="140">
        <f>ROUND(I1047%*H1047,2)</f>
        <v>0</v>
      </c>
      <c r="K1047" s="137"/>
    </row>
    <row r="1048" spans="2:16" s="1" customFormat="1" ht="22.9" customHeight="1">
      <c r="B1048" s="39"/>
      <c r="C1048" s="135">
        <f>C1047+1</f>
        <v>266</v>
      </c>
      <c r="D1048" s="135" t="s">
        <v>643</v>
      </c>
      <c r="E1048" s="136" t="s">
        <v>1288</v>
      </c>
      <c r="F1048" s="137" t="s">
        <v>1982</v>
      </c>
      <c r="G1048" s="138" t="s">
        <v>261</v>
      </c>
      <c r="H1048" s="140">
        <f>J1050+J1053+J1056</f>
        <v>0</v>
      </c>
      <c r="I1048" s="90"/>
      <c r="J1048" s="140">
        <f>ROUND(I1048%*H1048,2)</f>
        <v>0</v>
      </c>
      <c r="K1048" s="137"/>
    </row>
    <row r="1049" spans="2:16" s="10" customFormat="1" ht="29.85" customHeight="1">
      <c r="B1049" s="128"/>
      <c r="D1049" s="129"/>
      <c r="E1049" s="248" t="s">
        <v>1275</v>
      </c>
      <c r="F1049" s="274" t="s">
        <v>1276</v>
      </c>
      <c r="G1049" s="132"/>
      <c r="J1049" s="134"/>
      <c r="O1049"/>
    </row>
    <row r="1050" spans="2:16" s="341" customFormat="1" ht="30.6" customHeight="1">
      <c r="B1050" s="332"/>
      <c r="C1050" s="333">
        <f>C1048+1</f>
        <v>267</v>
      </c>
      <c r="D1050" s="333" t="s">
        <v>123</v>
      </c>
      <c r="E1050" s="334" t="s">
        <v>1274</v>
      </c>
      <c r="F1050" s="335" t="s">
        <v>1342</v>
      </c>
      <c r="G1050" s="336" t="s">
        <v>181</v>
      </c>
      <c r="H1050" s="337">
        <f>H1052</f>
        <v>1</v>
      </c>
      <c r="I1050" s="338"/>
      <c r="J1050" s="339">
        <f t="shared" ref="J1050" si="53">ROUND(I1050*H1050,2)</f>
        <v>0</v>
      </c>
      <c r="K1050" s="340"/>
    </row>
    <row r="1051" spans="2:16" s="11" customFormat="1">
      <c r="B1051" s="141"/>
      <c r="D1051" s="142" t="s">
        <v>95</v>
      </c>
      <c r="E1051" s="143" t="s">
        <v>2</v>
      </c>
      <c r="F1051" s="144" t="s">
        <v>1277</v>
      </c>
      <c r="H1051" s="145">
        <f>1</f>
        <v>1</v>
      </c>
      <c r="O1051" s="1"/>
    </row>
    <row r="1052" spans="2:16" s="12" customFormat="1">
      <c r="B1052" s="146"/>
      <c r="D1052" s="142" t="s">
        <v>95</v>
      </c>
      <c r="E1052" s="147" t="s">
        <v>2</v>
      </c>
      <c r="F1052" s="148" t="s">
        <v>96</v>
      </c>
      <c r="H1052" s="149">
        <f>SUM(H1051:H1051)</f>
        <v>1</v>
      </c>
      <c r="O1052" s="1"/>
    </row>
    <row r="1053" spans="2:16" s="1" customFormat="1" ht="22.5" customHeight="1">
      <c r="B1053" s="39"/>
      <c r="C1053" s="135">
        <f>C1050+1</f>
        <v>268</v>
      </c>
      <c r="D1053" s="135" t="s">
        <v>65</v>
      </c>
      <c r="E1053" s="136" t="s">
        <v>1278</v>
      </c>
      <c r="F1053" s="137" t="s">
        <v>1341</v>
      </c>
      <c r="G1053" s="138" t="s">
        <v>181</v>
      </c>
      <c r="H1053" s="139">
        <f>H1055</f>
        <v>1</v>
      </c>
      <c r="I1053" s="90"/>
      <c r="J1053" s="140">
        <f>ROUND(I1053*H1053,2)</f>
        <v>0</v>
      </c>
      <c r="K1053" s="137"/>
      <c r="P1053" s="303"/>
    </row>
    <row r="1054" spans="2:16" s="11" customFormat="1">
      <c r="B1054" s="141"/>
      <c r="D1054" s="142" t="s">
        <v>95</v>
      </c>
      <c r="E1054" s="143" t="s">
        <v>2</v>
      </c>
      <c r="F1054" s="144" t="s">
        <v>1279</v>
      </c>
      <c r="H1054" s="145">
        <f>1</f>
        <v>1</v>
      </c>
      <c r="O1054" s="1"/>
    </row>
    <row r="1055" spans="2:16" s="12" customFormat="1">
      <c r="B1055" s="146"/>
      <c r="D1055" s="142" t="s">
        <v>95</v>
      </c>
      <c r="E1055" s="147" t="s">
        <v>2</v>
      </c>
      <c r="F1055" s="148" t="s">
        <v>96</v>
      </c>
      <c r="H1055" s="149">
        <f>SUM(H1054:H1054)</f>
        <v>1</v>
      </c>
      <c r="O1055" s="1"/>
    </row>
    <row r="1056" spans="2:16" s="163" customFormat="1" ht="22.9" customHeight="1">
      <c r="B1056" s="254"/>
      <c r="C1056" s="135">
        <f>C1053+1</f>
        <v>269</v>
      </c>
      <c r="D1056" s="258" t="s">
        <v>643</v>
      </c>
      <c r="E1056" s="275" t="s">
        <v>1281</v>
      </c>
      <c r="F1056" s="276" t="s">
        <v>1283</v>
      </c>
      <c r="G1056" s="277" t="s">
        <v>181</v>
      </c>
      <c r="H1056" s="278">
        <f>H1058</f>
        <v>1</v>
      </c>
      <c r="I1056" s="285"/>
      <c r="J1056" s="279">
        <f t="shared" ref="J1056" si="54">ROUND(I1056*H1056,2)</f>
        <v>0</v>
      </c>
      <c r="K1056" s="137"/>
      <c r="O1056" s="1"/>
    </row>
    <row r="1057" spans="2:51" s="11" customFormat="1">
      <c r="B1057" s="141"/>
      <c r="D1057" s="142" t="s">
        <v>95</v>
      </c>
      <c r="E1057" s="143" t="s">
        <v>2</v>
      </c>
      <c r="F1057" s="144" t="s">
        <v>1282</v>
      </c>
      <c r="H1057" s="145">
        <f>1</f>
        <v>1</v>
      </c>
      <c r="O1057" s="1"/>
    </row>
    <row r="1058" spans="2:51" s="12" customFormat="1">
      <c r="B1058" s="146"/>
      <c r="D1058" s="142" t="s">
        <v>95</v>
      </c>
      <c r="E1058" s="147" t="s">
        <v>2</v>
      </c>
      <c r="F1058" s="148" t="s">
        <v>96</v>
      </c>
      <c r="H1058" s="149">
        <f>SUM(H1057:H1057)</f>
        <v>1</v>
      </c>
      <c r="O1058" s="1"/>
    </row>
    <row r="1059" spans="2:51" s="10" customFormat="1" ht="29.85" customHeight="1">
      <c r="B1059" s="128"/>
      <c r="D1059" s="129" t="s">
        <v>39</v>
      </c>
      <c r="E1059" s="133" t="s">
        <v>217</v>
      </c>
      <c r="F1059" s="133" t="s">
        <v>218</v>
      </c>
      <c r="J1059" s="134">
        <f>SUM(J1060:J1107)</f>
        <v>0</v>
      </c>
      <c r="O1059"/>
    </row>
    <row r="1060" spans="2:51" s="1" customFormat="1" ht="31.5" customHeight="1">
      <c r="B1060" s="39"/>
      <c r="C1060" s="135">
        <f>C1056+1</f>
        <v>270</v>
      </c>
      <c r="D1060" s="135" t="s">
        <v>65</v>
      </c>
      <c r="E1060" s="136" t="s">
        <v>219</v>
      </c>
      <c r="F1060" s="137" t="s">
        <v>220</v>
      </c>
      <c r="G1060" s="138" t="s">
        <v>94</v>
      </c>
      <c r="H1060" s="139">
        <f>H1067</f>
        <v>1.8513680000000001</v>
      </c>
      <c r="I1060" s="90"/>
      <c r="J1060" s="140">
        <f>ROUND(I1060*H1060,2)</f>
        <v>0</v>
      </c>
      <c r="K1060" s="137"/>
    </row>
    <row r="1061" spans="2:51" s="11" customFormat="1">
      <c r="B1061" s="141"/>
      <c r="D1061" s="142" t="s">
        <v>95</v>
      </c>
      <c r="E1061" s="143" t="s">
        <v>2</v>
      </c>
      <c r="F1061" s="144" t="s">
        <v>2531</v>
      </c>
      <c r="H1061" s="145">
        <f>(4*5.355*0.025)</f>
        <v>0.53550000000000009</v>
      </c>
      <c r="O1061" s="1"/>
    </row>
    <row r="1062" spans="2:51" s="11" customFormat="1">
      <c r="B1062" s="141"/>
      <c r="D1062" s="142" t="s">
        <v>95</v>
      </c>
      <c r="E1062" s="143" t="s">
        <v>2</v>
      </c>
      <c r="F1062" s="144" t="s">
        <v>2530</v>
      </c>
      <c r="H1062" s="145">
        <f>(3.46*0.14*0.18)*4+(1*0.14*0.18)*1</f>
        <v>0.37396800000000002</v>
      </c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AT1062" s="143" t="s">
        <v>95</v>
      </c>
      <c r="AU1062" s="143" t="s">
        <v>42</v>
      </c>
      <c r="AV1062" s="11" t="s">
        <v>42</v>
      </c>
      <c r="AW1062" s="11" t="s">
        <v>1291</v>
      </c>
      <c r="AX1062" s="11" t="s">
        <v>1292</v>
      </c>
      <c r="AY1062" s="143" t="s">
        <v>1289</v>
      </c>
    </row>
    <row r="1063" spans="2:51" s="11" customFormat="1">
      <c r="B1063" s="141"/>
      <c r="D1063" s="142" t="s">
        <v>95</v>
      </c>
      <c r="E1063" s="143" t="s">
        <v>2</v>
      </c>
      <c r="F1063" s="144" t="s">
        <v>2532</v>
      </c>
      <c r="H1063" s="145">
        <f>(5.8*0.18*0.2)</f>
        <v>0.20880000000000001</v>
      </c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AT1063" s="143" t="s">
        <v>95</v>
      </c>
      <c r="AU1063" s="143" t="s">
        <v>42</v>
      </c>
      <c r="AV1063" s="11" t="s">
        <v>42</v>
      </c>
      <c r="AW1063" s="11" t="s">
        <v>1291</v>
      </c>
      <c r="AX1063" s="11" t="s">
        <v>1292</v>
      </c>
      <c r="AY1063" s="143" t="s">
        <v>1289</v>
      </c>
    </row>
    <row r="1064" spans="2:51" s="11" customFormat="1">
      <c r="B1064" s="141"/>
      <c r="D1064" s="142" t="s">
        <v>95</v>
      </c>
      <c r="E1064" s="143" t="s">
        <v>2</v>
      </c>
      <c r="F1064" s="144" t="s">
        <v>2527</v>
      </c>
      <c r="H1064" s="145">
        <f>(2.6*2.5*0.025)*2</f>
        <v>0.32500000000000001</v>
      </c>
      <c r="O1064" s="1"/>
    </row>
    <row r="1065" spans="2:51" s="11" customFormat="1">
      <c r="B1065" s="141"/>
      <c r="D1065" s="142" t="s">
        <v>95</v>
      </c>
      <c r="E1065" s="143" t="s">
        <v>2</v>
      </c>
      <c r="F1065" s="144" t="s">
        <v>2529</v>
      </c>
      <c r="H1065" s="145">
        <f>(2.85*0.14*0.18)*5</f>
        <v>0.35910000000000003</v>
      </c>
      <c r="O1065" s="1"/>
    </row>
    <row r="1066" spans="2:51" s="11" customFormat="1">
      <c r="B1066" s="141"/>
      <c r="D1066" s="142" t="s">
        <v>95</v>
      </c>
      <c r="E1066" s="143" t="s">
        <v>2</v>
      </c>
      <c r="F1066" s="144" t="s">
        <v>2528</v>
      </c>
      <c r="H1066" s="145">
        <f>(2.5*0.14*0.14)</f>
        <v>4.9000000000000009E-2</v>
      </c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AT1066" s="143" t="s">
        <v>95</v>
      </c>
      <c r="AU1066" s="143" t="s">
        <v>42</v>
      </c>
      <c r="AV1066" s="11" t="s">
        <v>42</v>
      </c>
      <c r="AW1066" s="11" t="s">
        <v>1291</v>
      </c>
      <c r="AX1066" s="11" t="s">
        <v>1292</v>
      </c>
      <c r="AY1066" s="143" t="s">
        <v>1289</v>
      </c>
    </row>
    <row r="1067" spans="2:51" s="12" customFormat="1">
      <c r="B1067" s="146"/>
      <c r="D1067" s="142" t="s">
        <v>95</v>
      </c>
      <c r="E1067" s="147" t="s">
        <v>2</v>
      </c>
      <c r="F1067" s="148" t="s">
        <v>96</v>
      </c>
      <c r="H1067" s="149">
        <f>SUM(H1061:H1066)</f>
        <v>1.8513680000000001</v>
      </c>
      <c r="O1067" s="1"/>
    </row>
    <row r="1068" spans="2:51" s="1" customFormat="1" ht="22.15" customHeight="1">
      <c r="B1068" s="39"/>
      <c r="C1068" s="135">
        <f>C1060+1</f>
        <v>271</v>
      </c>
      <c r="D1068" s="135" t="s">
        <v>65</v>
      </c>
      <c r="E1068" s="136" t="s">
        <v>221</v>
      </c>
      <c r="F1068" s="137" t="s">
        <v>222</v>
      </c>
      <c r="G1068" s="138" t="s">
        <v>105</v>
      </c>
      <c r="H1068" s="139">
        <f>H1071</f>
        <v>34.42</v>
      </c>
      <c r="I1068" s="90"/>
      <c r="J1068" s="140">
        <f>ROUND(I1068*H1068,2)</f>
        <v>0</v>
      </c>
      <c r="K1068" s="137"/>
    </row>
    <row r="1069" spans="2:51" s="11" customFormat="1">
      <c r="B1069" s="141"/>
      <c r="D1069" s="142" t="s">
        <v>95</v>
      </c>
      <c r="E1069" s="143" t="s">
        <v>2</v>
      </c>
      <c r="F1069" s="144" t="s">
        <v>2533</v>
      </c>
      <c r="H1069" s="145">
        <f>(4*5.355)</f>
        <v>21.42</v>
      </c>
      <c r="O1069" s="1"/>
    </row>
    <row r="1070" spans="2:51" s="11" customFormat="1">
      <c r="B1070" s="141"/>
      <c r="D1070" s="142" t="s">
        <v>95</v>
      </c>
      <c r="E1070" s="143" t="s">
        <v>2</v>
      </c>
      <c r="F1070" s="144" t="s">
        <v>2534</v>
      </c>
      <c r="H1070" s="145">
        <f>(2.6*2.5)*2</f>
        <v>13</v>
      </c>
      <c r="O1070" s="1"/>
    </row>
    <row r="1071" spans="2:51" s="12" customFormat="1">
      <c r="B1071" s="146"/>
      <c r="D1071" s="142" t="s">
        <v>95</v>
      </c>
      <c r="E1071" s="147" t="s">
        <v>2</v>
      </c>
      <c r="F1071" s="148" t="s">
        <v>96</v>
      </c>
      <c r="H1071" s="149">
        <f>SUM(H1069:H1070)</f>
        <v>34.42</v>
      </c>
      <c r="O1071" s="1"/>
    </row>
    <row r="1072" spans="2:51" s="1" customFormat="1" ht="22.5" customHeight="1">
      <c r="B1072" s="39"/>
      <c r="C1072" s="150">
        <f>C1068+1</f>
        <v>272</v>
      </c>
      <c r="D1072" s="150" t="s">
        <v>123</v>
      </c>
      <c r="E1072" s="151" t="s">
        <v>223</v>
      </c>
      <c r="F1072" s="152" t="s">
        <v>1297</v>
      </c>
      <c r="G1072" s="153" t="s">
        <v>94</v>
      </c>
      <c r="H1072" s="154">
        <f>H1074</f>
        <v>0.94655000000000011</v>
      </c>
      <c r="I1072" s="91"/>
      <c r="J1072" s="155">
        <f>ROUND(I1072*H1072,2)</f>
        <v>0</v>
      </c>
      <c r="K1072" s="152"/>
    </row>
    <row r="1073" spans="2:65" s="11" customFormat="1">
      <c r="B1073" s="141"/>
      <c r="D1073" s="142" t="s">
        <v>95</v>
      </c>
      <c r="E1073" s="143" t="s">
        <v>2</v>
      </c>
      <c r="F1073" s="144" t="s">
        <v>2535</v>
      </c>
      <c r="H1073" s="145">
        <f>H1071*0.025*1.1</f>
        <v>0.94655000000000011</v>
      </c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</row>
    <row r="1074" spans="2:65" s="12" customFormat="1">
      <c r="B1074" s="146"/>
      <c r="D1074" s="142" t="s">
        <v>95</v>
      </c>
      <c r="E1074" s="147" t="s">
        <v>2</v>
      </c>
      <c r="F1074" s="148" t="s">
        <v>96</v>
      </c>
      <c r="H1074" s="149">
        <f>SUM(H1073)</f>
        <v>0.94655000000000011</v>
      </c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</row>
    <row r="1075" spans="2:65" s="1" customFormat="1" ht="31.5" customHeight="1">
      <c r="B1075" s="39"/>
      <c r="C1075" s="135">
        <f>C1072+1</f>
        <v>273</v>
      </c>
      <c r="D1075" s="135" t="s">
        <v>65</v>
      </c>
      <c r="E1075" s="136" t="s">
        <v>244</v>
      </c>
      <c r="F1075" s="137" t="s">
        <v>1302</v>
      </c>
      <c r="G1075" s="138" t="s">
        <v>155</v>
      </c>
      <c r="H1075" s="139">
        <f>H1080</f>
        <v>37.39</v>
      </c>
      <c r="I1075" s="90"/>
      <c r="J1075" s="140">
        <f>ROUND(I1075*H1075,2)</f>
        <v>0</v>
      </c>
      <c r="K1075" s="137"/>
      <c r="AR1075" s="313" t="s">
        <v>1298</v>
      </c>
      <c r="AT1075" s="313" t="s">
        <v>65</v>
      </c>
      <c r="AU1075" s="313" t="s">
        <v>42</v>
      </c>
      <c r="AY1075" s="313" t="s">
        <v>1289</v>
      </c>
      <c r="BE1075" s="328">
        <f>IF(N1075="základní",J1075,0)</f>
        <v>0</v>
      </c>
      <c r="BF1075" s="328">
        <f>IF(N1075="snížená",J1075,0)</f>
        <v>0</v>
      </c>
      <c r="BG1075" s="328">
        <f>IF(N1075="zákl. přenesená",J1075,0)</f>
        <v>0</v>
      </c>
      <c r="BH1075" s="328">
        <f>IF(N1075="sníž. přenesená",J1075,0)</f>
        <v>0</v>
      </c>
      <c r="BI1075" s="328">
        <f>IF(N1075="nulová",J1075,0)</f>
        <v>0</v>
      </c>
      <c r="BJ1075" s="313" t="s">
        <v>9</v>
      </c>
      <c r="BK1075" s="328">
        <f>ROUND(I1075*H1075,2)</f>
        <v>0</v>
      </c>
      <c r="BL1075" s="313" t="s">
        <v>1298</v>
      </c>
      <c r="BM1075" s="313" t="s">
        <v>1299</v>
      </c>
    </row>
    <row r="1076" spans="2:65" s="11" customFormat="1">
      <c r="B1076" s="141"/>
      <c r="D1076" s="142" t="s">
        <v>95</v>
      </c>
      <c r="E1076" s="143" t="s">
        <v>2</v>
      </c>
      <c r="F1076" s="144" t="s">
        <v>2536</v>
      </c>
      <c r="H1076" s="145">
        <f>(3.46)*4+(1)*1</f>
        <v>14.84</v>
      </c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AT1076" s="143" t="s">
        <v>95</v>
      </c>
      <c r="AU1076" s="143" t="s">
        <v>42</v>
      </c>
      <c r="AV1076" s="11" t="s">
        <v>42</v>
      </c>
      <c r="AW1076" s="11" t="s">
        <v>1291</v>
      </c>
      <c r="AX1076" s="11" t="s">
        <v>1292</v>
      </c>
      <c r="AY1076" s="143" t="s">
        <v>1289</v>
      </c>
    </row>
    <row r="1077" spans="2:65" s="11" customFormat="1">
      <c r="B1077" s="141"/>
      <c r="D1077" s="142" t="s">
        <v>95</v>
      </c>
      <c r="E1077" s="143" t="s">
        <v>2</v>
      </c>
      <c r="F1077" s="144" t="s">
        <v>2537</v>
      </c>
      <c r="H1077" s="145">
        <f>(5.8)</f>
        <v>5.8</v>
      </c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AT1077" s="143" t="s">
        <v>95</v>
      </c>
      <c r="AU1077" s="143" t="s">
        <v>42</v>
      </c>
      <c r="AV1077" s="11" t="s">
        <v>42</v>
      </c>
      <c r="AW1077" s="11" t="s">
        <v>1291</v>
      </c>
      <c r="AX1077" s="11" t="s">
        <v>1292</v>
      </c>
      <c r="AY1077" s="143" t="s">
        <v>1289</v>
      </c>
    </row>
    <row r="1078" spans="2:65" s="11" customFormat="1">
      <c r="B1078" s="141"/>
      <c r="D1078" s="142" t="s">
        <v>95</v>
      </c>
      <c r="E1078" s="143" t="s">
        <v>2</v>
      </c>
      <c r="F1078" s="144" t="s">
        <v>2538</v>
      </c>
      <c r="H1078" s="145">
        <f>(2.85)*5</f>
        <v>14.25</v>
      </c>
      <c r="O1078" s="1"/>
    </row>
    <row r="1079" spans="2:65" s="11" customFormat="1">
      <c r="B1079" s="141"/>
      <c r="D1079" s="142" t="s">
        <v>95</v>
      </c>
      <c r="E1079" s="143" t="s">
        <v>2</v>
      </c>
      <c r="F1079" s="144" t="s">
        <v>2539</v>
      </c>
      <c r="H1079" s="145">
        <f>(2.5)</f>
        <v>2.5</v>
      </c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AT1079" s="143" t="s">
        <v>95</v>
      </c>
      <c r="AU1079" s="143" t="s">
        <v>42</v>
      </c>
      <c r="AV1079" s="11" t="s">
        <v>42</v>
      </c>
      <c r="AW1079" s="11" t="s">
        <v>1291</v>
      </c>
      <c r="AX1079" s="11" t="s">
        <v>1292</v>
      </c>
      <c r="AY1079" s="143" t="s">
        <v>1289</v>
      </c>
    </row>
    <row r="1080" spans="2:65" s="12" customFormat="1">
      <c r="B1080" s="146"/>
      <c r="D1080" s="142" t="s">
        <v>95</v>
      </c>
      <c r="E1080" s="342" t="s">
        <v>2</v>
      </c>
      <c r="F1080" s="343" t="s">
        <v>96</v>
      </c>
      <c r="H1080" s="149">
        <f>SUM(H1076:H1079)</f>
        <v>37.39</v>
      </c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AT1080" s="342" t="s">
        <v>95</v>
      </c>
      <c r="AU1080" s="342" t="s">
        <v>42</v>
      </c>
      <c r="AV1080" s="12" t="s">
        <v>67</v>
      </c>
      <c r="AW1080" s="12" t="s">
        <v>1291</v>
      </c>
      <c r="AX1080" s="12" t="s">
        <v>9</v>
      </c>
      <c r="AY1080" s="342" t="s">
        <v>1289</v>
      </c>
    </row>
    <row r="1081" spans="2:65" s="1" customFormat="1" ht="22.5" customHeight="1">
      <c r="B1081" s="39"/>
      <c r="C1081" s="150">
        <f>C1075+1</f>
        <v>274</v>
      </c>
      <c r="D1081" s="150" t="s">
        <v>123</v>
      </c>
      <c r="E1081" s="151" t="s">
        <v>245</v>
      </c>
      <c r="F1081" s="152" t="s">
        <v>1303</v>
      </c>
      <c r="G1081" s="153" t="s">
        <v>94</v>
      </c>
      <c r="H1081" s="154">
        <f>H1086</f>
        <v>1.0899548000000001</v>
      </c>
      <c r="I1081" s="91"/>
      <c r="J1081" s="155">
        <f>ROUND(I1081*H1081,2)</f>
        <v>0</v>
      </c>
      <c r="K1081" s="152"/>
      <c r="AR1081" s="313" t="s">
        <v>1300</v>
      </c>
      <c r="AT1081" s="313" t="s">
        <v>123</v>
      </c>
      <c r="AU1081" s="313" t="s">
        <v>42</v>
      </c>
      <c r="AY1081" s="313" t="s">
        <v>1289</v>
      </c>
      <c r="BE1081" s="328">
        <f>IF(N1081="základní",J1081,0)</f>
        <v>0</v>
      </c>
      <c r="BF1081" s="328">
        <f>IF(N1081="snížená",J1081,0)</f>
        <v>0</v>
      </c>
      <c r="BG1081" s="328">
        <f>IF(N1081="zákl. přenesená",J1081,0)</f>
        <v>0</v>
      </c>
      <c r="BH1081" s="328">
        <f>IF(N1081="sníž. přenesená",J1081,0)</f>
        <v>0</v>
      </c>
      <c r="BI1081" s="328">
        <f>IF(N1081="nulová",J1081,0)</f>
        <v>0</v>
      </c>
      <c r="BJ1081" s="313" t="s">
        <v>9</v>
      </c>
      <c r="BK1081" s="328">
        <f>ROUND(I1081*H1081,2)</f>
        <v>0</v>
      </c>
      <c r="BL1081" s="313" t="s">
        <v>1298</v>
      </c>
      <c r="BM1081" s="313" t="s">
        <v>1301</v>
      </c>
    </row>
    <row r="1082" spans="2:65" s="11" customFormat="1" ht="27">
      <c r="B1082" s="141"/>
      <c r="D1082" s="142" t="s">
        <v>95</v>
      </c>
      <c r="E1082" s="143" t="s">
        <v>2</v>
      </c>
      <c r="F1082" s="144" t="s">
        <v>2540</v>
      </c>
      <c r="H1082" s="145">
        <f>((3.46*0.14*0.18)*4+(1*0.14*0.18)*1)*1.1</f>
        <v>0.41136480000000003</v>
      </c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AT1082" s="143" t="s">
        <v>95</v>
      </c>
      <c r="AU1082" s="143" t="s">
        <v>42</v>
      </c>
      <c r="AV1082" s="11" t="s">
        <v>42</v>
      </c>
      <c r="AW1082" s="11" t="s">
        <v>1291</v>
      </c>
      <c r="AX1082" s="11" t="s">
        <v>1292</v>
      </c>
      <c r="AY1082" s="143" t="s">
        <v>1289</v>
      </c>
    </row>
    <row r="1083" spans="2:65" s="11" customFormat="1" ht="27">
      <c r="B1083" s="141"/>
      <c r="D1083" s="142" t="s">
        <v>95</v>
      </c>
      <c r="E1083" s="143" t="s">
        <v>2</v>
      </c>
      <c r="F1083" s="144" t="s">
        <v>2541</v>
      </c>
      <c r="H1083" s="145">
        <f>(5.8*0.18*0.2)*1.1</f>
        <v>0.22968000000000002</v>
      </c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AT1083" s="143" t="s">
        <v>95</v>
      </c>
      <c r="AU1083" s="143" t="s">
        <v>42</v>
      </c>
      <c r="AV1083" s="11" t="s">
        <v>42</v>
      </c>
      <c r="AW1083" s="11" t="s">
        <v>1291</v>
      </c>
      <c r="AX1083" s="11" t="s">
        <v>1292</v>
      </c>
      <c r="AY1083" s="143" t="s">
        <v>1289</v>
      </c>
    </row>
    <row r="1084" spans="2:65" s="11" customFormat="1">
      <c r="B1084" s="141"/>
      <c r="D1084" s="142" t="s">
        <v>95</v>
      </c>
      <c r="E1084" s="143" t="s">
        <v>2</v>
      </c>
      <c r="F1084" s="144" t="s">
        <v>2542</v>
      </c>
      <c r="H1084" s="145">
        <f>((2.85*0.14*0.18)*5)*1.1</f>
        <v>0.39501000000000008</v>
      </c>
      <c r="O1084" s="1"/>
    </row>
    <row r="1085" spans="2:65" s="11" customFormat="1">
      <c r="B1085" s="141"/>
      <c r="D1085" s="142" t="s">
        <v>95</v>
      </c>
      <c r="E1085" s="143" t="s">
        <v>2</v>
      </c>
      <c r="F1085" s="144" t="s">
        <v>2543</v>
      </c>
      <c r="H1085" s="145">
        <f>(2.5*0.14*0.14)*1.1</f>
        <v>5.3900000000000017E-2</v>
      </c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AT1085" s="143" t="s">
        <v>95</v>
      </c>
      <c r="AU1085" s="143" t="s">
        <v>42</v>
      </c>
      <c r="AV1085" s="11" t="s">
        <v>42</v>
      </c>
      <c r="AW1085" s="11" t="s">
        <v>1291</v>
      </c>
      <c r="AX1085" s="11" t="s">
        <v>1292</v>
      </c>
      <c r="AY1085" s="143" t="s">
        <v>1289</v>
      </c>
    </row>
    <row r="1086" spans="2:65" s="12" customFormat="1">
      <c r="B1086" s="146"/>
      <c r="D1086" s="142" t="s">
        <v>95</v>
      </c>
      <c r="E1086" s="342" t="s">
        <v>2</v>
      </c>
      <c r="F1086" s="343" t="s">
        <v>96</v>
      </c>
      <c r="H1086" s="149">
        <f>SUM(H1082:H1085)</f>
        <v>1.0899548000000001</v>
      </c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AT1086" s="342" t="s">
        <v>95</v>
      </c>
      <c r="AU1086" s="342" t="s">
        <v>42</v>
      </c>
      <c r="AV1086" s="12" t="s">
        <v>67</v>
      </c>
      <c r="AW1086" s="12" t="s">
        <v>1291</v>
      </c>
      <c r="AX1086" s="12" t="s">
        <v>9</v>
      </c>
      <c r="AY1086" s="342" t="s">
        <v>1289</v>
      </c>
    </row>
    <row r="1087" spans="2:65" s="1" customFormat="1" ht="22.5" customHeight="1">
      <c r="B1087" s="39"/>
      <c r="C1087" s="135">
        <f>C1081+1</f>
        <v>275</v>
      </c>
      <c r="D1087" s="135" t="s">
        <v>65</v>
      </c>
      <c r="E1087" s="136" t="s">
        <v>224</v>
      </c>
      <c r="F1087" s="137" t="s">
        <v>225</v>
      </c>
      <c r="G1087" s="138" t="s">
        <v>94</v>
      </c>
      <c r="H1087" s="139">
        <f>H1090</f>
        <v>1.8518181818181816</v>
      </c>
      <c r="I1087" s="90"/>
      <c r="J1087" s="140">
        <f>ROUND(I1087*H1087,2)</f>
        <v>0</v>
      </c>
      <c r="K1087" s="137"/>
    </row>
    <row r="1088" spans="2:65" s="11" customFormat="1">
      <c r="B1088" s="141"/>
      <c r="D1088" s="142" t="s">
        <v>95</v>
      </c>
      <c r="E1088" s="143" t="s">
        <v>2</v>
      </c>
      <c r="F1088" s="144" t="s">
        <v>2544</v>
      </c>
      <c r="H1088" s="145">
        <f>(0.947/1.1)</f>
        <v>0.86090909090909085</v>
      </c>
      <c r="O1088" s="1"/>
    </row>
    <row r="1089" spans="2:51" s="11" customFormat="1">
      <c r="B1089" s="141"/>
      <c r="D1089" s="142" t="s">
        <v>95</v>
      </c>
      <c r="E1089" s="143" t="s">
        <v>2</v>
      </c>
      <c r="F1089" s="144" t="s">
        <v>2545</v>
      </c>
      <c r="H1089" s="145">
        <f>(1.09/1.1)</f>
        <v>0.99090909090909085</v>
      </c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AT1089" s="143" t="s">
        <v>95</v>
      </c>
      <c r="AU1089" s="143" t="s">
        <v>42</v>
      </c>
      <c r="AV1089" s="11" t="s">
        <v>42</v>
      </c>
      <c r="AW1089" s="11" t="s">
        <v>1291</v>
      </c>
      <c r="AX1089" s="11" t="s">
        <v>1292</v>
      </c>
      <c r="AY1089" s="143" t="s">
        <v>1289</v>
      </c>
    </row>
    <row r="1090" spans="2:51" s="12" customFormat="1">
      <c r="B1090" s="146"/>
      <c r="D1090" s="142" t="s">
        <v>95</v>
      </c>
      <c r="E1090" s="147" t="s">
        <v>2</v>
      </c>
      <c r="F1090" s="148" t="s">
        <v>96</v>
      </c>
      <c r="H1090" s="149">
        <f>SUM(H1088:H1089)</f>
        <v>1.8518181818181816</v>
      </c>
      <c r="O1090" s="1"/>
    </row>
    <row r="1091" spans="2:51" s="1" customFormat="1" ht="22.5" customHeight="1">
      <c r="B1091" s="39"/>
      <c r="C1091" s="135">
        <f>C1087+1</f>
        <v>276</v>
      </c>
      <c r="D1091" s="135" t="s">
        <v>65</v>
      </c>
      <c r="E1091" s="136" t="s">
        <v>226</v>
      </c>
      <c r="F1091" s="137" t="s">
        <v>227</v>
      </c>
      <c r="G1091" s="138" t="s">
        <v>105</v>
      </c>
      <c r="H1091" s="139">
        <f>H1094</f>
        <v>4.5950000000000006</v>
      </c>
      <c r="I1091" s="90"/>
      <c r="J1091" s="140">
        <f>ROUND(I1091*H1091,2)</f>
        <v>0</v>
      </c>
      <c r="K1091" s="137"/>
    </row>
    <row r="1092" spans="2:51" s="11" customFormat="1">
      <c r="B1092" s="141"/>
      <c r="D1092" s="142" t="s">
        <v>95</v>
      </c>
      <c r="E1092" s="143" t="s">
        <v>2</v>
      </c>
      <c r="F1092" s="144" t="s">
        <v>1304</v>
      </c>
      <c r="H1092" s="145">
        <f>(3.5+5.075+0.4)*0.2</f>
        <v>1.7949999999999999</v>
      </c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AT1092" s="143" t="s">
        <v>95</v>
      </c>
      <c r="AU1092" s="143" t="s">
        <v>42</v>
      </c>
      <c r="AV1092" s="11" t="s">
        <v>42</v>
      </c>
      <c r="AW1092" s="11" t="s">
        <v>1291</v>
      </c>
      <c r="AX1092" s="11" t="s">
        <v>1292</v>
      </c>
      <c r="AY1092" s="143" t="s">
        <v>1289</v>
      </c>
    </row>
    <row r="1093" spans="2:51" s="11" customFormat="1">
      <c r="B1093" s="141"/>
      <c r="D1093" s="142" t="s">
        <v>95</v>
      </c>
      <c r="E1093" s="143" t="s">
        <v>2</v>
      </c>
      <c r="F1093" s="144" t="s">
        <v>1305</v>
      </c>
      <c r="H1093" s="145">
        <f>(3.5*0.8)</f>
        <v>2.8000000000000003</v>
      </c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AT1093" s="143" t="s">
        <v>95</v>
      </c>
      <c r="AU1093" s="143" t="s">
        <v>42</v>
      </c>
      <c r="AV1093" s="11" t="s">
        <v>42</v>
      </c>
      <c r="AW1093" s="11" t="s">
        <v>1291</v>
      </c>
      <c r="AX1093" s="11" t="s">
        <v>1292</v>
      </c>
      <c r="AY1093" s="143" t="s">
        <v>1289</v>
      </c>
    </row>
    <row r="1094" spans="2:51" s="12" customFormat="1">
      <c r="B1094" s="146"/>
      <c r="D1094" s="142" t="s">
        <v>95</v>
      </c>
      <c r="E1094" s="342" t="s">
        <v>2</v>
      </c>
      <c r="F1094" s="343" t="s">
        <v>96</v>
      </c>
      <c r="H1094" s="149">
        <f>SUM(H1092:H1093)</f>
        <v>4.5950000000000006</v>
      </c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AT1094" s="342" t="s">
        <v>95</v>
      </c>
      <c r="AU1094" s="342" t="s">
        <v>42</v>
      </c>
      <c r="AV1094" s="12" t="s">
        <v>67</v>
      </c>
      <c r="AW1094" s="12" t="s">
        <v>1291</v>
      </c>
      <c r="AX1094" s="12" t="s">
        <v>9</v>
      </c>
      <c r="AY1094" s="342" t="s">
        <v>1289</v>
      </c>
    </row>
    <row r="1095" spans="2:51" s="1" customFormat="1" ht="22.15" customHeight="1">
      <c r="B1095" s="39"/>
      <c r="C1095" s="135">
        <f>C1091+1</f>
        <v>277</v>
      </c>
      <c r="D1095" s="135" t="s">
        <v>65</v>
      </c>
      <c r="E1095" s="136" t="s">
        <v>228</v>
      </c>
      <c r="F1095" s="137" t="s">
        <v>1312</v>
      </c>
      <c r="G1095" s="138" t="s">
        <v>105</v>
      </c>
      <c r="H1095" s="139">
        <f>H1098</f>
        <v>4.5950000000000006</v>
      </c>
      <c r="I1095" s="90"/>
      <c r="J1095" s="140">
        <f>ROUND(I1095*H1095,2)</f>
        <v>0</v>
      </c>
      <c r="K1095" s="137"/>
    </row>
    <row r="1096" spans="2:51" s="11" customFormat="1">
      <c r="B1096" s="141"/>
      <c r="D1096" s="142" t="s">
        <v>95</v>
      </c>
      <c r="E1096" s="143" t="s">
        <v>2</v>
      </c>
      <c r="F1096" s="144" t="s">
        <v>1304</v>
      </c>
      <c r="H1096" s="145">
        <f>(3.5+5.075+0.4)*0.2</f>
        <v>1.7949999999999999</v>
      </c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AT1096" s="143" t="s">
        <v>95</v>
      </c>
      <c r="AU1096" s="143" t="s">
        <v>42</v>
      </c>
      <c r="AV1096" s="11" t="s">
        <v>42</v>
      </c>
      <c r="AW1096" s="11" t="s">
        <v>1291</v>
      </c>
      <c r="AX1096" s="11" t="s">
        <v>1292</v>
      </c>
      <c r="AY1096" s="143" t="s">
        <v>1289</v>
      </c>
    </row>
    <row r="1097" spans="2:51" s="11" customFormat="1">
      <c r="B1097" s="141"/>
      <c r="D1097" s="142" t="s">
        <v>95</v>
      </c>
      <c r="E1097" s="143" t="s">
        <v>2</v>
      </c>
      <c r="F1097" s="144" t="s">
        <v>1305</v>
      </c>
      <c r="H1097" s="145">
        <f>(3.5*0.8)</f>
        <v>2.8000000000000003</v>
      </c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AT1097" s="143" t="s">
        <v>95</v>
      </c>
      <c r="AU1097" s="143" t="s">
        <v>42</v>
      </c>
      <c r="AV1097" s="11" t="s">
        <v>42</v>
      </c>
      <c r="AW1097" s="11" t="s">
        <v>1291</v>
      </c>
      <c r="AX1097" s="11" t="s">
        <v>1292</v>
      </c>
      <c r="AY1097" s="143" t="s">
        <v>1289</v>
      </c>
    </row>
    <row r="1098" spans="2:51" s="12" customFormat="1">
      <c r="B1098" s="146"/>
      <c r="D1098" s="142" t="s">
        <v>95</v>
      </c>
      <c r="E1098" s="342" t="s">
        <v>2</v>
      </c>
      <c r="F1098" s="343" t="s">
        <v>96</v>
      </c>
      <c r="H1098" s="149">
        <f>SUM(H1096:H1097)</f>
        <v>4.5950000000000006</v>
      </c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AT1098" s="342" t="s">
        <v>95</v>
      </c>
      <c r="AU1098" s="342" t="s">
        <v>42</v>
      </c>
      <c r="AV1098" s="12" t="s">
        <v>67</v>
      </c>
      <c r="AW1098" s="12" t="s">
        <v>1291</v>
      </c>
      <c r="AX1098" s="12" t="s">
        <v>9</v>
      </c>
      <c r="AY1098" s="342" t="s">
        <v>1289</v>
      </c>
    </row>
    <row r="1099" spans="2:51" s="1" customFormat="1" ht="28.9" customHeight="1">
      <c r="B1099" s="39"/>
      <c r="C1099" s="150">
        <f>C1095+1</f>
        <v>278</v>
      </c>
      <c r="D1099" s="150" t="s">
        <v>123</v>
      </c>
      <c r="E1099" s="151" t="s">
        <v>229</v>
      </c>
      <c r="F1099" s="152" t="s">
        <v>1311</v>
      </c>
      <c r="G1099" s="153" t="s">
        <v>105</v>
      </c>
      <c r="H1099" s="154">
        <f>H1102</f>
        <v>5.0545000000000009</v>
      </c>
      <c r="I1099" s="91"/>
      <c r="J1099" s="155">
        <f>ROUND(I1099*H1099,2)</f>
        <v>0</v>
      </c>
      <c r="K1099" s="152"/>
    </row>
    <row r="1100" spans="2:51" s="11" customFormat="1" ht="27">
      <c r="B1100" s="141"/>
      <c r="D1100" s="142" t="s">
        <v>95</v>
      </c>
      <c r="E1100" s="143" t="s">
        <v>2</v>
      </c>
      <c r="F1100" s="144" t="s">
        <v>1307</v>
      </c>
      <c r="H1100" s="145">
        <f>((3.5+5.075+0.4)*0.2)*1.1</f>
        <v>1.9745000000000001</v>
      </c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AT1100" s="143" t="s">
        <v>95</v>
      </c>
      <c r="AU1100" s="143" t="s">
        <v>42</v>
      </c>
      <c r="AV1100" s="11" t="s">
        <v>42</v>
      </c>
      <c r="AW1100" s="11" t="s">
        <v>1291</v>
      </c>
      <c r="AX1100" s="11" t="s">
        <v>1292</v>
      </c>
      <c r="AY1100" s="143" t="s">
        <v>1289</v>
      </c>
    </row>
    <row r="1101" spans="2:51" s="11" customFormat="1">
      <c r="B1101" s="141"/>
      <c r="D1101" s="142" t="s">
        <v>95</v>
      </c>
      <c r="E1101" s="143" t="s">
        <v>2</v>
      </c>
      <c r="F1101" s="144" t="s">
        <v>1306</v>
      </c>
      <c r="H1101" s="145">
        <f>(3.5*0.8)*1.1</f>
        <v>3.0800000000000005</v>
      </c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AT1101" s="143" t="s">
        <v>95</v>
      </c>
      <c r="AU1101" s="143" t="s">
        <v>42</v>
      </c>
      <c r="AV1101" s="11" t="s">
        <v>42</v>
      </c>
      <c r="AW1101" s="11" t="s">
        <v>1291</v>
      </c>
      <c r="AX1101" s="11" t="s">
        <v>1292</v>
      </c>
      <c r="AY1101" s="143" t="s">
        <v>1289</v>
      </c>
    </row>
    <row r="1102" spans="2:51" s="12" customFormat="1">
      <c r="B1102" s="146"/>
      <c r="D1102" s="142" t="s">
        <v>95</v>
      </c>
      <c r="E1102" s="342" t="s">
        <v>2</v>
      </c>
      <c r="F1102" s="343" t="s">
        <v>96</v>
      </c>
      <c r="H1102" s="149">
        <f>SUM(H1100:H1101)</f>
        <v>5.0545000000000009</v>
      </c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AT1102" s="342" t="s">
        <v>95</v>
      </c>
      <c r="AU1102" s="342" t="s">
        <v>42</v>
      </c>
      <c r="AV1102" s="12" t="s">
        <v>67</v>
      </c>
      <c r="AW1102" s="12" t="s">
        <v>1291</v>
      </c>
      <c r="AX1102" s="12" t="s">
        <v>9</v>
      </c>
      <c r="AY1102" s="342" t="s">
        <v>1289</v>
      </c>
    </row>
    <row r="1103" spans="2:51" s="1" customFormat="1" ht="22.5" customHeight="1">
      <c r="B1103" s="39"/>
      <c r="C1103" s="135">
        <f>C1099+1</f>
        <v>279</v>
      </c>
      <c r="D1103" s="135" t="s">
        <v>65</v>
      </c>
      <c r="E1103" s="136" t="s">
        <v>230</v>
      </c>
      <c r="F1103" s="137" t="s">
        <v>231</v>
      </c>
      <c r="G1103" s="138" t="s">
        <v>94</v>
      </c>
      <c r="H1103" s="139">
        <f>H1106</f>
        <v>0.22975000000000001</v>
      </c>
      <c r="I1103" s="90"/>
      <c r="J1103" s="140">
        <f>ROUND(I1103*H1103,2)</f>
        <v>0</v>
      </c>
      <c r="K1103" s="137"/>
    </row>
    <row r="1104" spans="2:51" s="11" customFormat="1">
      <c r="B1104" s="141"/>
      <c r="D1104" s="142" t="s">
        <v>95</v>
      </c>
      <c r="E1104" s="143" t="s">
        <v>2</v>
      </c>
      <c r="F1104" s="144" t="s">
        <v>1309</v>
      </c>
      <c r="H1104" s="145">
        <f>((3.5+5.075+0.4)*0.2)*0.05</f>
        <v>8.9749999999999996E-2</v>
      </c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AT1104" s="143" t="s">
        <v>95</v>
      </c>
      <c r="AU1104" s="143" t="s">
        <v>42</v>
      </c>
      <c r="AV1104" s="11" t="s">
        <v>42</v>
      </c>
      <c r="AW1104" s="11" t="s">
        <v>1291</v>
      </c>
      <c r="AX1104" s="11" t="s">
        <v>1292</v>
      </c>
      <c r="AY1104" s="143" t="s">
        <v>1289</v>
      </c>
    </row>
    <row r="1105" spans="2:51" s="11" customFormat="1">
      <c r="B1105" s="141"/>
      <c r="D1105" s="142" t="s">
        <v>95</v>
      </c>
      <c r="E1105" s="143" t="s">
        <v>2</v>
      </c>
      <c r="F1105" s="144" t="s">
        <v>1308</v>
      </c>
      <c r="H1105" s="145">
        <f>(3.5*0.8)*0.05</f>
        <v>0.14000000000000001</v>
      </c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AT1105" s="143" t="s">
        <v>95</v>
      </c>
      <c r="AU1105" s="143" t="s">
        <v>42</v>
      </c>
      <c r="AV1105" s="11" t="s">
        <v>42</v>
      </c>
      <c r="AW1105" s="11" t="s">
        <v>1291</v>
      </c>
      <c r="AX1105" s="11" t="s">
        <v>1292</v>
      </c>
      <c r="AY1105" s="143" t="s">
        <v>1289</v>
      </c>
    </row>
    <row r="1106" spans="2:51" s="12" customFormat="1">
      <c r="B1106" s="146"/>
      <c r="D1106" s="142" t="s">
        <v>95</v>
      </c>
      <c r="E1106" s="342" t="s">
        <v>2</v>
      </c>
      <c r="F1106" s="343" t="s">
        <v>96</v>
      </c>
      <c r="H1106" s="149">
        <f>SUM(H1104:H1105)</f>
        <v>0.22975000000000001</v>
      </c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AT1106" s="342" t="s">
        <v>95</v>
      </c>
      <c r="AU1106" s="342" t="s">
        <v>42</v>
      </c>
      <c r="AV1106" s="12" t="s">
        <v>67</v>
      </c>
      <c r="AW1106" s="12" t="s">
        <v>1291</v>
      </c>
      <c r="AX1106" s="12" t="s">
        <v>9</v>
      </c>
      <c r="AY1106" s="342" t="s">
        <v>1289</v>
      </c>
    </row>
    <row r="1107" spans="2:51" s="1" customFormat="1" ht="22.5" customHeight="1">
      <c r="B1107" s="39"/>
      <c r="C1107" s="135">
        <f>C1103+1</f>
        <v>280</v>
      </c>
      <c r="D1107" s="135" t="s">
        <v>65</v>
      </c>
      <c r="E1107" s="136" t="s">
        <v>232</v>
      </c>
      <c r="F1107" s="137" t="s">
        <v>1310</v>
      </c>
      <c r="G1107" s="138" t="s">
        <v>261</v>
      </c>
      <c r="H1107" s="139">
        <f>SUM(J1060:J1106)</f>
        <v>0</v>
      </c>
      <c r="I1107" s="90"/>
      <c r="J1107" s="140">
        <f>ROUND(I1107%*H1107,2)</f>
        <v>0</v>
      </c>
      <c r="K1107" s="137"/>
    </row>
    <row r="1108" spans="2:51" s="10" customFormat="1" ht="29.85" customHeight="1">
      <c r="B1108" s="128"/>
      <c r="D1108" s="129" t="s">
        <v>39</v>
      </c>
      <c r="E1108" s="133" t="s">
        <v>233</v>
      </c>
      <c r="F1108" s="133" t="s">
        <v>234</v>
      </c>
      <c r="J1108" s="134">
        <f>SUM(J1109:J1121)</f>
        <v>0</v>
      </c>
      <c r="O1108"/>
    </row>
    <row r="1109" spans="2:51" s="1" customFormat="1" ht="22.15" customHeight="1">
      <c r="B1109" s="39"/>
      <c r="C1109" s="135">
        <f>C1107+1</f>
        <v>281</v>
      </c>
      <c r="D1109" s="135" t="s">
        <v>65</v>
      </c>
      <c r="E1109" s="136" t="s">
        <v>235</v>
      </c>
      <c r="F1109" s="137" t="s">
        <v>1313</v>
      </c>
      <c r="G1109" s="138" t="s">
        <v>105</v>
      </c>
      <c r="H1109" s="139">
        <f>H1112</f>
        <v>8.4499999999999993</v>
      </c>
      <c r="I1109" s="90"/>
      <c r="J1109" s="140">
        <f>ROUND(I1109*H1109,2)</f>
        <v>0</v>
      </c>
      <c r="K1109" s="137"/>
    </row>
    <row r="1110" spans="2:51" s="11" customFormat="1">
      <c r="B1110" s="141"/>
      <c r="D1110" s="142" t="s">
        <v>95</v>
      </c>
      <c r="E1110" s="143" t="s">
        <v>2</v>
      </c>
      <c r="F1110" s="144" t="s">
        <v>2506</v>
      </c>
      <c r="H1110" s="145">
        <f>(1.92*2)</f>
        <v>3.84</v>
      </c>
      <c r="O1110" s="1"/>
    </row>
    <row r="1111" spans="2:51" s="11" customFormat="1">
      <c r="B1111" s="141"/>
      <c r="D1111" s="142" t="s">
        <v>95</v>
      </c>
      <c r="E1111" s="143" t="s">
        <v>2</v>
      </c>
      <c r="F1111" s="144" t="s">
        <v>2505</v>
      </c>
      <c r="H1111" s="145">
        <f>(2*2.305)</f>
        <v>4.6100000000000003</v>
      </c>
      <c r="O1111" s="1"/>
    </row>
    <row r="1112" spans="2:51" s="12" customFormat="1">
      <c r="B1112" s="146"/>
      <c r="D1112" s="142" t="s">
        <v>95</v>
      </c>
      <c r="E1112" s="147" t="s">
        <v>2</v>
      </c>
      <c r="F1112" s="148" t="s">
        <v>96</v>
      </c>
      <c r="H1112" s="149">
        <f>SUM(H1110:H1111)</f>
        <v>8.4499999999999993</v>
      </c>
      <c r="O1112" s="1"/>
    </row>
    <row r="1113" spans="2:51" s="1" customFormat="1" ht="22.5" customHeight="1">
      <c r="B1113" s="39"/>
      <c r="C1113" s="135">
        <f>C1109+1</f>
        <v>282</v>
      </c>
      <c r="D1113" s="135" t="s">
        <v>65</v>
      </c>
      <c r="E1113" s="136" t="s">
        <v>236</v>
      </c>
      <c r="F1113" s="137" t="s">
        <v>237</v>
      </c>
      <c r="G1113" s="138" t="s">
        <v>105</v>
      </c>
      <c r="H1113" s="139">
        <f>H1116</f>
        <v>8.4499999999999993</v>
      </c>
      <c r="I1113" s="90"/>
      <c r="J1113" s="140">
        <f>ROUND(I1113*H1113,2)</f>
        <v>0</v>
      </c>
      <c r="K1113" s="137"/>
    </row>
    <row r="1114" spans="2:51" s="11" customFormat="1">
      <c r="B1114" s="141"/>
      <c r="D1114" s="142" t="s">
        <v>95</v>
      </c>
      <c r="E1114" s="143" t="s">
        <v>2</v>
      </c>
      <c r="F1114" s="144" t="s">
        <v>2506</v>
      </c>
      <c r="H1114" s="145">
        <f>(1.92*2)</f>
        <v>3.84</v>
      </c>
      <c r="O1114" s="1"/>
    </row>
    <row r="1115" spans="2:51" s="11" customFormat="1">
      <c r="B1115" s="141"/>
      <c r="D1115" s="142" t="s">
        <v>95</v>
      </c>
      <c r="E1115" s="143" t="s">
        <v>2</v>
      </c>
      <c r="F1115" s="144" t="s">
        <v>2505</v>
      </c>
      <c r="H1115" s="145">
        <f>(2*2.305)</f>
        <v>4.6100000000000003</v>
      </c>
      <c r="O1115" s="1"/>
    </row>
    <row r="1116" spans="2:51" s="12" customFormat="1">
      <c r="B1116" s="146"/>
      <c r="D1116" s="142" t="s">
        <v>95</v>
      </c>
      <c r="E1116" s="147" t="s">
        <v>2</v>
      </c>
      <c r="F1116" s="148" t="s">
        <v>96</v>
      </c>
      <c r="H1116" s="149">
        <f>SUM(H1114:H1115)</f>
        <v>8.4499999999999993</v>
      </c>
      <c r="O1116" s="1"/>
    </row>
    <row r="1117" spans="2:51" s="1" customFormat="1" ht="22.5" customHeight="1">
      <c r="B1117" s="39"/>
      <c r="C1117" s="135">
        <f>C1113+1</f>
        <v>283</v>
      </c>
      <c r="D1117" s="135" t="s">
        <v>65</v>
      </c>
      <c r="E1117" s="136" t="s">
        <v>243</v>
      </c>
      <c r="F1117" s="137" t="s">
        <v>1314</v>
      </c>
      <c r="G1117" s="138" t="s">
        <v>105</v>
      </c>
      <c r="H1117" s="139">
        <f>H1120</f>
        <v>8.4499999999999993</v>
      </c>
      <c r="I1117" s="90"/>
      <c r="J1117" s="140">
        <f>ROUND(I1117*H1117,2)</f>
        <v>0</v>
      </c>
      <c r="K1117" s="137"/>
    </row>
    <row r="1118" spans="2:51" s="11" customFormat="1">
      <c r="B1118" s="141"/>
      <c r="D1118" s="142" t="s">
        <v>95</v>
      </c>
      <c r="E1118" s="143" t="s">
        <v>2</v>
      </c>
      <c r="F1118" s="144" t="s">
        <v>2506</v>
      </c>
      <c r="H1118" s="145">
        <f>(1.92*2)</f>
        <v>3.84</v>
      </c>
      <c r="O1118" s="1"/>
    </row>
    <row r="1119" spans="2:51" s="11" customFormat="1">
      <c r="B1119" s="141"/>
      <c r="D1119" s="142" t="s">
        <v>95</v>
      </c>
      <c r="E1119" s="143" t="s">
        <v>2</v>
      </c>
      <c r="F1119" s="144" t="s">
        <v>2505</v>
      </c>
      <c r="H1119" s="145">
        <f>(2*2.305)</f>
        <v>4.6100000000000003</v>
      </c>
      <c r="O1119" s="1"/>
    </row>
    <row r="1120" spans="2:51" s="12" customFormat="1">
      <c r="B1120" s="146"/>
      <c r="D1120" s="142" t="s">
        <v>95</v>
      </c>
      <c r="E1120" s="147" t="s">
        <v>2</v>
      </c>
      <c r="F1120" s="148" t="s">
        <v>96</v>
      </c>
      <c r="H1120" s="149">
        <f>SUM(H1118:H1119)</f>
        <v>8.4499999999999993</v>
      </c>
      <c r="O1120" s="1"/>
    </row>
    <row r="1121" spans="2:15" s="1" customFormat="1" ht="22.5" customHeight="1">
      <c r="B1121" s="39"/>
      <c r="C1121" s="135">
        <f>C1117+1</f>
        <v>284</v>
      </c>
      <c r="D1121" s="135" t="s">
        <v>65</v>
      </c>
      <c r="E1121" s="136" t="s">
        <v>247</v>
      </c>
      <c r="F1121" s="137" t="s">
        <v>1315</v>
      </c>
      <c r="G1121" s="138" t="s">
        <v>261</v>
      </c>
      <c r="H1121" s="139">
        <f>SUM(J1109:J1120)</f>
        <v>0</v>
      </c>
      <c r="I1121" s="90"/>
      <c r="J1121" s="140">
        <f>ROUND(I1121%*H1121,2)</f>
        <v>0</v>
      </c>
      <c r="K1121" s="137"/>
    </row>
    <row r="1122" spans="2:15" s="10" customFormat="1" ht="29.85" customHeight="1">
      <c r="B1122" s="128"/>
      <c r="D1122" s="129" t="s">
        <v>39</v>
      </c>
      <c r="E1122" s="133" t="s">
        <v>248</v>
      </c>
      <c r="F1122" s="133" t="s">
        <v>249</v>
      </c>
      <c r="J1122" s="134">
        <f>SUM(J1123:J1157)</f>
        <v>0</v>
      </c>
      <c r="O1122"/>
    </row>
    <row r="1123" spans="2:15" s="1" customFormat="1" ht="40.5">
      <c r="B1123" s="39"/>
      <c r="C1123" s="135">
        <f>C1121+1</f>
        <v>285</v>
      </c>
      <c r="D1123" s="135" t="s">
        <v>65</v>
      </c>
      <c r="E1123" s="136" t="s">
        <v>251</v>
      </c>
      <c r="F1123" s="137" t="s">
        <v>1316</v>
      </c>
      <c r="G1123" s="138" t="s">
        <v>105</v>
      </c>
      <c r="H1123" s="139">
        <f>H1126</f>
        <v>29.337500000000002</v>
      </c>
      <c r="I1123" s="90"/>
      <c r="J1123" s="140">
        <f>ROUND(I1123*H1123,2)</f>
        <v>0</v>
      </c>
      <c r="K1123" s="137"/>
    </row>
    <row r="1124" spans="2:15" s="11" customFormat="1">
      <c r="B1124" s="141"/>
      <c r="D1124" s="142" t="s">
        <v>95</v>
      </c>
      <c r="E1124" s="143" t="s">
        <v>2</v>
      </c>
      <c r="F1124" s="144" t="s">
        <v>1096</v>
      </c>
      <c r="H1124" s="145">
        <f>(4.5*5.075)</f>
        <v>22.837500000000002</v>
      </c>
      <c r="O1124" s="1"/>
    </row>
    <row r="1125" spans="2:15" s="11" customFormat="1">
      <c r="B1125" s="141"/>
      <c r="D1125" s="142" t="s">
        <v>95</v>
      </c>
      <c r="E1125" s="143" t="s">
        <v>2</v>
      </c>
      <c r="F1125" s="144" t="s">
        <v>2503</v>
      </c>
      <c r="H1125" s="145">
        <f>(2.5*2.6)</f>
        <v>6.5</v>
      </c>
      <c r="O1125" s="1"/>
    </row>
    <row r="1126" spans="2:15" s="12" customFormat="1">
      <c r="B1126" s="146"/>
      <c r="D1126" s="142" t="s">
        <v>95</v>
      </c>
      <c r="E1126" s="147" t="s">
        <v>2</v>
      </c>
      <c r="F1126" s="148" t="s">
        <v>96</v>
      </c>
      <c r="H1126" s="149">
        <f>SUM(H1124:H1125)</f>
        <v>29.337500000000002</v>
      </c>
      <c r="O1126" s="1"/>
    </row>
    <row r="1127" spans="2:15" s="1" customFormat="1" ht="31.5" customHeight="1">
      <c r="B1127" s="39"/>
      <c r="C1127" s="135">
        <f>C1123+1</f>
        <v>286</v>
      </c>
      <c r="D1127" s="135" t="s">
        <v>65</v>
      </c>
      <c r="E1127" s="136" t="s">
        <v>252</v>
      </c>
      <c r="F1127" s="137" t="s">
        <v>1317</v>
      </c>
      <c r="G1127" s="138" t="s">
        <v>155</v>
      </c>
      <c r="H1127" s="139">
        <f>H1130</f>
        <v>7.6750000000000007</v>
      </c>
      <c r="I1127" s="90"/>
      <c r="J1127" s="140">
        <f>ROUND(I1127*H1127,2)</f>
        <v>0</v>
      </c>
      <c r="K1127" s="137"/>
    </row>
    <row r="1128" spans="2:15" s="11" customFormat="1">
      <c r="B1128" s="141"/>
      <c r="D1128" s="142" t="s">
        <v>95</v>
      </c>
      <c r="E1128" s="143" t="s">
        <v>2</v>
      </c>
      <c r="F1128" s="144" t="s">
        <v>1318</v>
      </c>
      <c r="H1128" s="145">
        <f>5.075</f>
        <v>5.0750000000000002</v>
      </c>
      <c r="O1128" s="1"/>
    </row>
    <row r="1129" spans="2:15" s="11" customFormat="1">
      <c r="B1129" s="141"/>
      <c r="D1129" s="142" t="s">
        <v>95</v>
      </c>
      <c r="E1129" s="143" t="s">
        <v>2</v>
      </c>
      <c r="F1129" s="144" t="s">
        <v>2546</v>
      </c>
      <c r="H1129" s="145">
        <f>2.6</f>
        <v>2.6</v>
      </c>
      <c r="O1129" s="1"/>
    </row>
    <row r="1130" spans="2:15" s="12" customFormat="1">
      <c r="B1130" s="146"/>
      <c r="D1130" s="142" t="s">
        <v>95</v>
      </c>
      <c r="E1130" s="147" t="s">
        <v>2</v>
      </c>
      <c r="F1130" s="148" t="s">
        <v>96</v>
      </c>
      <c r="H1130" s="149">
        <f>SUM(H1128:H1129)</f>
        <v>7.6750000000000007</v>
      </c>
      <c r="O1130" s="1"/>
    </row>
    <row r="1131" spans="2:15" s="1" customFormat="1" ht="22.5" customHeight="1">
      <c r="B1131" s="39"/>
      <c r="C1131" s="135">
        <f>C1127+1</f>
        <v>287</v>
      </c>
      <c r="D1131" s="135" t="s">
        <v>65</v>
      </c>
      <c r="E1131" s="136" t="s">
        <v>253</v>
      </c>
      <c r="F1131" s="137" t="s">
        <v>1319</v>
      </c>
      <c r="G1131" s="138" t="s">
        <v>155</v>
      </c>
      <c r="H1131" s="139">
        <f>H1134</f>
        <v>7.8000000000000007</v>
      </c>
      <c r="I1131" s="90"/>
      <c r="J1131" s="140">
        <f>ROUND(I1131*H1131,2)</f>
        <v>0</v>
      </c>
      <c r="K1131" s="137"/>
    </row>
    <row r="1132" spans="2:15" s="11" customFormat="1">
      <c r="B1132" s="141"/>
      <c r="D1132" s="142" t="s">
        <v>95</v>
      </c>
      <c r="E1132" s="143" t="s">
        <v>2</v>
      </c>
      <c r="F1132" s="144" t="s">
        <v>1320</v>
      </c>
      <c r="H1132" s="145">
        <f>(4.5+0.4)</f>
        <v>4.9000000000000004</v>
      </c>
      <c r="O1132" s="1"/>
    </row>
    <row r="1133" spans="2:15" s="11" customFormat="1">
      <c r="B1133" s="141"/>
      <c r="D1133" s="142" t="s">
        <v>95</v>
      </c>
      <c r="E1133" s="143" t="s">
        <v>2</v>
      </c>
      <c r="F1133" s="144" t="s">
        <v>2547</v>
      </c>
      <c r="H1133" s="145">
        <f>(2.5+0.4)</f>
        <v>2.9</v>
      </c>
      <c r="O1133" s="1"/>
    </row>
    <row r="1134" spans="2:15" s="12" customFormat="1">
      <c r="B1134" s="146"/>
      <c r="D1134" s="142" t="s">
        <v>95</v>
      </c>
      <c r="E1134" s="147" t="s">
        <v>2</v>
      </c>
      <c r="F1134" s="148" t="s">
        <v>96</v>
      </c>
      <c r="H1134" s="149">
        <f>SUM(H1132:H1133)</f>
        <v>7.8000000000000007</v>
      </c>
      <c r="O1134" s="1"/>
    </row>
    <row r="1135" spans="2:15" s="1" customFormat="1" ht="22.5" customHeight="1">
      <c r="B1135" s="39"/>
      <c r="C1135" s="135">
        <f>C1131+1</f>
        <v>288</v>
      </c>
      <c r="D1135" s="135" t="s">
        <v>65</v>
      </c>
      <c r="E1135" s="136" t="s">
        <v>254</v>
      </c>
      <c r="F1135" s="137" t="s">
        <v>1321</v>
      </c>
      <c r="G1135" s="138" t="s">
        <v>155</v>
      </c>
      <c r="H1135" s="139">
        <f>H1137</f>
        <v>36.975000000000001</v>
      </c>
      <c r="I1135" s="90"/>
      <c r="J1135" s="140">
        <f>ROUND(I1135*H1135,2)</f>
        <v>0</v>
      </c>
      <c r="K1135" s="137"/>
    </row>
    <row r="1136" spans="2:15" s="11" customFormat="1">
      <c r="B1136" s="141"/>
      <c r="D1136" s="142" t="s">
        <v>95</v>
      </c>
      <c r="E1136" s="143" t="s">
        <v>2</v>
      </c>
      <c r="F1136" s="144" t="s">
        <v>1322</v>
      </c>
      <c r="H1136" s="145">
        <f>(8.775+25.39+2.81)</f>
        <v>36.975000000000001</v>
      </c>
      <c r="O1136" s="1"/>
    </row>
    <row r="1137" spans="2:15" s="12" customFormat="1">
      <c r="B1137" s="146"/>
      <c r="D1137" s="142" t="s">
        <v>95</v>
      </c>
      <c r="E1137" s="147" t="s">
        <v>2</v>
      </c>
      <c r="F1137" s="148" t="s">
        <v>96</v>
      </c>
      <c r="H1137" s="149">
        <f>SUM(H1136:H1136)</f>
        <v>36.975000000000001</v>
      </c>
      <c r="O1137" s="1"/>
    </row>
    <row r="1138" spans="2:15" s="1" customFormat="1" ht="22.5" customHeight="1">
      <c r="B1138" s="39"/>
      <c r="C1138" s="135">
        <f>C1135+1</f>
        <v>289</v>
      </c>
      <c r="D1138" s="135" t="s">
        <v>65</v>
      </c>
      <c r="E1138" s="136" t="s">
        <v>255</v>
      </c>
      <c r="F1138" s="137" t="s">
        <v>1324</v>
      </c>
      <c r="G1138" s="138" t="s">
        <v>155</v>
      </c>
      <c r="H1138" s="139">
        <f>H1142</f>
        <v>6.0250000000000004</v>
      </c>
      <c r="I1138" s="90"/>
      <c r="J1138" s="140">
        <f>ROUND(I1138*H1138,2)</f>
        <v>0</v>
      </c>
      <c r="K1138" s="137"/>
    </row>
    <row r="1139" spans="2:15" s="11" customFormat="1">
      <c r="B1139" s="141"/>
      <c r="D1139" s="142" t="s">
        <v>95</v>
      </c>
      <c r="E1139" s="143" t="s">
        <v>2</v>
      </c>
      <c r="F1139" s="144" t="s">
        <v>1347</v>
      </c>
      <c r="H1139" s="145">
        <f>(0.965*2)</f>
        <v>1.93</v>
      </c>
      <c r="O1139" s="1"/>
    </row>
    <row r="1140" spans="2:15" s="11" customFormat="1">
      <c r="B1140" s="141"/>
      <c r="D1140" s="142" t="s">
        <v>95</v>
      </c>
      <c r="E1140" s="143" t="s">
        <v>2</v>
      </c>
      <c r="F1140" s="144" t="s">
        <v>1323</v>
      </c>
      <c r="H1140" s="145">
        <f>(0.965*3)</f>
        <v>2.895</v>
      </c>
      <c r="O1140" s="1"/>
    </row>
    <row r="1141" spans="2:15" s="11" customFormat="1">
      <c r="B1141" s="141"/>
      <c r="D1141" s="142" t="s">
        <v>95</v>
      </c>
      <c r="E1141" s="143" t="s">
        <v>2</v>
      </c>
      <c r="F1141" s="144" t="s">
        <v>2548</v>
      </c>
      <c r="H1141" s="145">
        <f>1.2*1</f>
        <v>1.2</v>
      </c>
      <c r="O1141" s="1"/>
    </row>
    <row r="1142" spans="2:15" s="12" customFormat="1">
      <c r="B1142" s="146"/>
      <c r="D1142" s="142" t="s">
        <v>95</v>
      </c>
      <c r="E1142" s="147" t="s">
        <v>2</v>
      </c>
      <c r="F1142" s="148" t="s">
        <v>96</v>
      </c>
      <c r="H1142" s="149">
        <f>SUM(H1139:H1141)</f>
        <v>6.0250000000000004</v>
      </c>
      <c r="O1142" s="1"/>
    </row>
    <row r="1143" spans="2:15" s="1" customFormat="1" ht="22.5" customHeight="1">
      <c r="B1143" s="39"/>
      <c r="C1143" s="135">
        <f>C1138+1</f>
        <v>290</v>
      </c>
      <c r="D1143" s="135" t="s">
        <v>65</v>
      </c>
      <c r="E1143" s="136" t="s">
        <v>1326</v>
      </c>
      <c r="F1143" s="137" t="s">
        <v>1325</v>
      </c>
      <c r="G1143" s="138" t="s">
        <v>155</v>
      </c>
      <c r="H1143" s="139">
        <f>H1146</f>
        <v>11.555000000000001</v>
      </c>
      <c r="I1143" s="90"/>
      <c r="J1143" s="140">
        <f>ROUND(I1143*H1143,2)</f>
        <v>0</v>
      </c>
      <c r="K1143" s="137"/>
    </row>
    <row r="1144" spans="2:15" s="11" customFormat="1">
      <c r="B1144" s="141"/>
      <c r="D1144" s="142" t="s">
        <v>95</v>
      </c>
      <c r="E1144" s="143" t="s">
        <v>2</v>
      </c>
      <c r="F1144" s="144" t="s">
        <v>1329</v>
      </c>
      <c r="H1144" s="145">
        <f>(5.205+0.38+4.07)</f>
        <v>9.6550000000000011</v>
      </c>
      <c r="O1144" s="1"/>
    </row>
    <row r="1145" spans="2:15" s="11" customFormat="1">
      <c r="B1145" s="141"/>
      <c r="D1145" s="142"/>
      <c r="E1145" s="143"/>
      <c r="F1145" s="144" t="s">
        <v>1330</v>
      </c>
      <c r="H1145" s="145">
        <f>1.9</f>
        <v>1.9</v>
      </c>
      <c r="O1145" s="1"/>
    </row>
    <row r="1146" spans="2:15" s="12" customFormat="1">
      <c r="B1146" s="146"/>
      <c r="D1146" s="142" t="s">
        <v>95</v>
      </c>
      <c r="E1146" s="147" t="s">
        <v>2</v>
      </c>
      <c r="F1146" s="148" t="s">
        <v>96</v>
      </c>
      <c r="H1146" s="149">
        <f>SUM(H1144:H1145)</f>
        <v>11.555000000000001</v>
      </c>
      <c r="O1146" s="1"/>
    </row>
    <row r="1147" spans="2:15" s="1" customFormat="1" ht="31.5" customHeight="1">
      <c r="B1147" s="39"/>
      <c r="C1147" s="135">
        <f>C1143+1</f>
        <v>291</v>
      </c>
      <c r="D1147" s="135" t="s">
        <v>65</v>
      </c>
      <c r="E1147" s="136" t="s">
        <v>1327</v>
      </c>
      <c r="F1147" s="137" t="s">
        <v>1328</v>
      </c>
      <c r="G1147" s="138" t="s">
        <v>155</v>
      </c>
      <c r="H1147" s="139">
        <f>H1150</f>
        <v>11.37</v>
      </c>
      <c r="I1147" s="90"/>
      <c r="J1147" s="140">
        <f>ROUND(I1147*H1147,2)</f>
        <v>0</v>
      </c>
      <c r="K1147" s="137"/>
    </row>
    <row r="1148" spans="2:15" s="11" customFormat="1">
      <c r="B1148" s="141"/>
      <c r="D1148" s="142" t="s">
        <v>95</v>
      </c>
      <c r="E1148" s="143" t="s">
        <v>2</v>
      </c>
      <c r="F1148" s="144" t="s">
        <v>1331</v>
      </c>
      <c r="H1148" s="145">
        <f>10.92</f>
        <v>10.92</v>
      </c>
      <c r="O1148" s="1"/>
    </row>
    <row r="1149" spans="2:15" s="11" customFormat="1">
      <c r="B1149" s="141"/>
      <c r="D1149" s="142"/>
      <c r="E1149" s="143"/>
      <c r="F1149" s="144" t="s">
        <v>1332</v>
      </c>
      <c r="H1149" s="145">
        <f>0.45</f>
        <v>0.45</v>
      </c>
      <c r="O1149" s="1"/>
    </row>
    <row r="1150" spans="2:15" s="12" customFormat="1">
      <c r="B1150" s="146"/>
      <c r="D1150" s="142" t="s">
        <v>95</v>
      </c>
      <c r="E1150" s="147" t="s">
        <v>2</v>
      </c>
      <c r="F1150" s="148" t="s">
        <v>96</v>
      </c>
      <c r="H1150" s="149">
        <f>SUM(H1148:H1149)</f>
        <v>11.37</v>
      </c>
      <c r="O1150" s="1"/>
    </row>
    <row r="1151" spans="2:15" s="1" customFormat="1" ht="22.5" customHeight="1">
      <c r="B1151" s="39"/>
      <c r="C1151" s="135">
        <f>C1147+1</f>
        <v>292</v>
      </c>
      <c r="D1151" s="135" t="s">
        <v>65</v>
      </c>
      <c r="E1151" s="136" t="s">
        <v>2549</v>
      </c>
      <c r="F1151" s="137" t="s">
        <v>2550</v>
      </c>
      <c r="G1151" s="138" t="s">
        <v>155</v>
      </c>
      <c r="H1151" s="139">
        <f>H1153</f>
        <v>2.2000000000000002</v>
      </c>
      <c r="I1151" s="90"/>
      <c r="J1151" s="140">
        <f>ROUND(I1151*H1151,2)</f>
        <v>0</v>
      </c>
      <c r="K1151" s="137"/>
    </row>
    <row r="1152" spans="2:15" s="11" customFormat="1">
      <c r="B1152" s="141"/>
      <c r="D1152" s="142" t="s">
        <v>95</v>
      </c>
      <c r="E1152" s="143" t="s">
        <v>2</v>
      </c>
      <c r="F1152" s="144" t="s">
        <v>2551</v>
      </c>
      <c r="H1152" s="145">
        <f>2.2</f>
        <v>2.2000000000000002</v>
      </c>
      <c r="O1152" s="1"/>
    </row>
    <row r="1153" spans="2:15" s="12" customFormat="1">
      <c r="B1153" s="146"/>
      <c r="D1153" s="142" t="s">
        <v>95</v>
      </c>
      <c r="E1153" s="147" t="s">
        <v>2</v>
      </c>
      <c r="F1153" s="148" t="s">
        <v>96</v>
      </c>
      <c r="H1153" s="149">
        <f>SUM(H1152:H1152)</f>
        <v>2.2000000000000002</v>
      </c>
      <c r="O1153" s="1"/>
    </row>
    <row r="1154" spans="2:15" s="1" customFormat="1" ht="31.5" customHeight="1">
      <c r="B1154" s="39"/>
      <c r="C1154" s="135">
        <f>C1151+1</f>
        <v>293</v>
      </c>
      <c r="D1154" s="135" t="s">
        <v>65</v>
      </c>
      <c r="E1154" s="136" t="s">
        <v>2552</v>
      </c>
      <c r="F1154" s="137" t="s">
        <v>2553</v>
      </c>
      <c r="G1154" s="138" t="s">
        <v>155</v>
      </c>
      <c r="H1154" s="139">
        <f>H1156</f>
        <v>4</v>
      </c>
      <c r="I1154" s="90"/>
      <c r="J1154" s="140">
        <f>ROUND(I1154*H1154,2)</f>
        <v>0</v>
      </c>
      <c r="K1154" s="137"/>
    </row>
    <row r="1155" spans="2:15" s="11" customFormat="1">
      <c r="B1155" s="141"/>
      <c r="D1155" s="142" t="s">
        <v>95</v>
      </c>
      <c r="E1155" s="143" t="s">
        <v>2</v>
      </c>
      <c r="F1155" s="144" t="s">
        <v>2554</v>
      </c>
      <c r="H1155" s="145">
        <f>(3.5+0.5)</f>
        <v>4</v>
      </c>
      <c r="O1155" s="1"/>
    </row>
    <row r="1156" spans="2:15" s="12" customFormat="1">
      <c r="B1156" s="146"/>
      <c r="D1156" s="142" t="s">
        <v>95</v>
      </c>
      <c r="E1156" s="147" t="s">
        <v>2</v>
      </c>
      <c r="F1156" s="148" t="s">
        <v>96</v>
      </c>
      <c r="H1156" s="149">
        <f>SUM(H1155:H1155)</f>
        <v>4</v>
      </c>
      <c r="O1156" s="1"/>
    </row>
    <row r="1157" spans="2:15" s="1" customFormat="1" ht="15.6" customHeight="1">
      <c r="B1157" s="39"/>
      <c r="C1157" s="135">
        <f>C1154+1</f>
        <v>294</v>
      </c>
      <c r="D1157" s="135" t="s">
        <v>65</v>
      </c>
      <c r="E1157" s="136" t="s">
        <v>256</v>
      </c>
      <c r="F1157" s="137" t="s">
        <v>1333</v>
      </c>
      <c r="G1157" s="138" t="s">
        <v>261</v>
      </c>
      <c r="H1157" s="139">
        <f>SUM(J1123:J1156)</f>
        <v>0</v>
      </c>
      <c r="I1157" s="90"/>
      <c r="J1157" s="140">
        <f>ROUND(I1157%*H1157,2)</f>
        <v>0</v>
      </c>
      <c r="K1157" s="137"/>
    </row>
    <row r="1158" spans="2:15" s="10" customFormat="1" ht="29.85" customHeight="1">
      <c r="B1158" s="128"/>
      <c r="D1158" s="129" t="s">
        <v>39</v>
      </c>
      <c r="E1158" s="133" t="s">
        <v>257</v>
      </c>
      <c r="F1158" s="133" t="s">
        <v>258</v>
      </c>
      <c r="J1158" s="134">
        <f>SUM(J1159:J1192)</f>
        <v>0</v>
      </c>
      <c r="O1158"/>
    </row>
    <row r="1159" spans="2:15" s="1" customFormat="1" ht="15.6" customHeight="1">
      <c r="B1159" s="39"/>
      <c r="C1159" s="135">
        <f>C1157+1</f>
        <v>295</v>
      </c>
      <c r="D1159" s="135" t="s">
        <v>65</v>
      </c>
      <c r="E1159" s="136" t="s">
        <v>1338</v>
      </c>
      <c r="F1159" s="137" t="s">
        <v>635</v>
      </c>
      <c r="G1159" s="138" t="s">
        <v>115</v>
      </c>
      <c r="H1159" s="139">
        <f>H1161</f>
        <v>2</v>
      </c>
      <c r="I1159" s="90"/>
      <c r="J1159" s="140">
        <f>ROUND(I1159*H1159,2)</f>
        <v>0</v>
      </c>
      <c r="K1159" s="137"/>
    </row>
    <row r="1160" spans="2:15" s="1" customFormat="1">
      <c r="B1160" s="39"/>
      <c r="C1160" s="11"/>
      <c r="D1160" s="142" t="s">
        <v>95</v>
      </c>
      <c r="E1160" s="143" t="s">
        <v>2</v>
      </c>
      <c r="F1160" s="144" t="s">
        <v>1343</v>
      </c>
      <c r="G1160" s="11"/>
      <c r="H1160" s="145">
        <v>2</v>
      </c>
      <c r="I1160" s="11"/>
      <c r="J1160" s="11"/>
      <c r="K1160" s="11"/>
    </row>
    <row r="1161" spans="2:15" s="1" customFormat="1">
      <c r="B1161" s="39"/>
      <c r="C1161" s="146"/>
      <c r="D1161" s="142" t="s">
        <v>95</v>
      </c>
      <c r="E1161" s="147" t="s">
        <v>2</v>
      </c>
      <c r="F1161" s="148" t="s">
        <v>96</v>
      </c>
      <c r="G1161" s="12"/>
      <c r="H1161" s="149">
        <f>SUM(H1160:H1160)</f>
        <v>2</v>
      </c>
      <c r="I1161" s="149"/>
      <c r="J1161" s="12"/>
      <c r="K1161" s="12"/>
    </row>
    <row r="1162" spans="2:15" s="1" customFormat="1" ht="40.5">
      <c r="B1162" s="39"/>
      <c r="C1162" s="150">
        <f>C1159+1</f>
        <v>296</v>
      </c>
      <c r="D1162" s="150" t="s">
        <v>123</v>
      </c>
      <c r="E1162" s="151" t="s">
        <v>1339</v>
      </c>
      <c r="F1162" s="152" t="s">
        <v>1340</v>
      </c>
      <c r="G1162" s="153" t="s">
        <v>115</v>
      </c>
      <c r="H1162" s="154">
        <f>H1164</f>
        <v>2</v>
      </c>
      <c r="I1162" s="91"/>
      <c r="J1162" s="155">
        <f>ROUND(I1162*H1162,2)</f>
        <v>0</v>
      </c>
      <c r="K1162" s="152"/>
    </row>
    <row r="1163" spans="2:15" s="1" customFormat="1">
      <c r="B1163" s="39"/>
      <c r="C1163" s="11"/>
      <c r="D1163" s="142" t="s">
        <v>95</v>
      </c>
      <c r="E1163" s="143" t="s">
        <v>2</v>
      </c>
      <c r="F1163" s="144" t="s">
        <v>1343</v>
      </c>
      <c r="G1163" s="11"/>
      <c r="H1163" s="145">
        <v>2</v>
      </c>
      <c r="I1163" s="11"/>
      <c r="J1163" s="11"/>
      <c r="K1163" s="11"/>
    </row>
    <row r="1164" spans="2:15" s="1" customFormat="1">
      <c r="B1164" s="39"/>
      <c r="C1164" s="146"/>
      <c r="D1164" s="142" t="s">
        <v>95</v>
      </c>
      <c r="E1164" s="147" t="s">
        <v>2</v>
      </c>
      <c r="F1164" s="148" t="s">
        <v>96</v>
      </c>
      <c r="G1164" s="12"/>
      <c r="H1164" s="149">
        <f>SUM(H1163:H1163)</f>
        <v>2</v>
      </c>
      <c r="I1164" s="149"/>
      <c r="J1164" s="12"/>
      <c r="K1164" s="12"/>
    </row>
    <row r="1165" spans="2:15" s="1" customFormat="1" ht="15.6" customHeight="1">
      <c r="B1165" s="39"/>
      <c r="C1165" s="135">
        <f>C1162+1</f>
        <v>297</v>
      </c>
      <c r="D1165" s="135" t="s">
        <v>65</v>
      </c>
      <c r="E1165" s="136" t="s">
        <v>1345</v>
      </c>
      <c r="F1165" s="137" t="s">
        <v>2043</v>
      </c>
      <c r="G1165" s="138" t="s">
        <v>115</v>
      </c>
      <c r="H1165" s="139">
        <f>H1167</f>
        <v>2</v>
      </c>
      <c r="I1165" s="90"/>
      <c r="J1165" s="140">
        <f>ROUND(I1165*H1165,2)</f>
        <v>0</v>
      </c>
      <c r="K1165" s="137"/>
    </row>
    <row r="1166" spans="2:15" s="1" customFormat="1">
      <c r="B1166" s="39"/>
      <c r="C1166" s="11"/>
      <c r="D1166" s="142" t="s">
        <v>95</v>
      </c>
      <c r="E1166" s="143" t="s">
        <v>2</v>
      </c>
      <c r="F1166" s="144" t="s">
        <v>1344</v>
      </c>
      <c r="G1166" s="11"/>
      <c r="H1166" s="145">
        <v>2</v>
      </c>
      <c r="I1166" s="11"/>
      <c r="J1166" s="11"/>
      <c r="K1166" s="11"/>
    </row>
    <row r="1167" spans="2:15" s="1" customFormat="1">
      <c r="B1167" s="39"/>
      <c r="C1167" s="146"/>
      <c r="D1167" s="142" t="s">
        <v>95</v>
      </c>
      <c r="E1167" s="147" t="s">
        <v>2</v>
      </c>
      <c r="F1167" s="148" t="s">
        <v>96</v>
      </c>
      <c r="G1167" s="12"/>
      <c r="H1167" s="149">
        <f>SUM(H1166:H1166)</f>
        <v>2</v>
      </c>
      <c r="I1167" s="149"/>
      <c r="J1167" s="12"/>
      <c r="K1167" s="12"/>
    </row>
    <row r="1168" spans="2:15" s="1" customFormat="1" ht="27">
      <c r="B1168" s="39"/>
      <c r="C1168" s="150">
        <f>C1165+1</f>
        <v>298</v>
      </c>
      <c r="D1168" s="150" t="s">
        <v>123</v>
      </c>
      <c r="E1168" s="151" t="s">
        <v>1346</v>
      </c>
      <c r="F1168" s="152" t="s">
        <v>2075</v>
      </c>
      <c r="G1168" s="153" t="s">
        <v>115</v>
      </c>
      <c r="H1168" s="154">
        <f>H1170</f>
        <v>2</v>
      </c>
      <c r="I1168" s="91"/>
      <c r="J1168" s="155">
        <f>ROUND(I1168*H1168,2)</f>
        <v>0</v>
      </c>
      <c r="K1168" s="152"/>
    </row>
    <row r="1169" spans="2:11" s="1" customFormat="1">
      <c r="B1169" s="39"/>
      <c r="C1169" s="11"/>
      <c r="D1169" s="142" t="s">
        <v>95</v>
      </c>
      <c r="E1169" s="143" t="s">
        <v>2</v>
      </c>
      <c r="F1169" s="144" t="s">
        <v>1344</v>
      </c>
      <c r="G1169" s="11"/>
      <c r="H1169" s="145">
        <v>2</v>
      </c>
      <c r="I1169" s="11"/>
      <c r="J1169" s="11"/>
      <c r="K1169" s="11"/>
    </row>
    <row r="1170" spans="2:11" s="1" customFormat="1">
      <c r="B1170" s="39"/>
      <c r="C1170" s="146"/>
      <c r="D1170" s="142" t="s">
        <v>95</v>
      </c>
      <c r="E1170" s="147" t="s">
        <v>2</v>
      </c>
      <c r="F1170" s="148" t="s">
        <v>96</v>
      </c>
      <c r="G1170" s="12"/>
      <c r="H1170" s="149">
        <f>SUM(H1169:H1169)</f>
        <v>2</v>
      </c>
      <c r="I1170" s="149"/>
      <c r="J1170" s="12"/>
      <c r="K1170" s="12"/>
    </row>
    <row r="1171" spans="2:11" s="1" customFormat="1" ht="15.6" customHeight="1">
      <c r="B1171" s="39"/>
      <c r="C1171" s="135">
        <f>C1168+1</f>
        <v>299</v>
      </c>
      <c r="D1171" s="135" t="s">
        <v>65</v>
      </c>
      <c r="E1171" s="136" t="s">
        <v>2555</v>
      </c>
      <c r="F1171" s="137" t="s">
        <v>2556</v>
      </c>
      <c r="G1171" s="138" t="s">
        <v>115</v>
      </c>
      <c r="H1171" s="139">
        <f>H1173</f>
        <v>1</v>
      </c>
      <c r="I1171" s="90"/>
      <c r="J1171" s="140">
        <f>ROUND(I1171*H1171,2)</f>
        <v>0</v>
      </c>
      <c r="K1171" s="137"/>
    </row>
    <row r="1172" spans="2:11" s="1" customFormat="1">
      <c r="B1172" s="39"/>
      <c r="C1172" s="11"/>
      <c r="D1172" s="142" t="s">
        <v>95</v>
      </c>
      <c r="E1172" s="143" t="s">
        <v>2</v>
      </c>
      <c r="F1172" s="144" t="s">
        <v>2557</v>
      </c>
      <c r="G1172" s="11"/>
      <c r="H1172" s="145">
        <f>1</f>
        <v>1</v>
      </c>
      <c r="I1172" s="11"/>
      <c r="J1172" s="11"/>
      <c r="K1172" s="11"/>
    </row>
    <row r="1173" spans="2:11" s="1" customFormat="1">
      <c r="B1173" s="39"/>
      <c r="C1173" s="146"/>
      <c r="D1173" s="142" t="s">
        <v>95</v>
      </c>
      <c r="E1173" s="147" t="s">
        <v>2</v>
      </c>
      <c r="F1173" s="148" t="s">
        <v>96</v>
      </c>
      <c r="G1173" s="12"/>
      <c r="H1173" s="149">
        <f>SUM(H1172:H1172)</f>
        <v>1</v>
      </c>
      <c r="I1173" s="149"/>
      <c r="J1173" s="12"/>
      <c r="K1173" s="12"/>
    </row>
    <row r="1174" spans="2:11" s="1" customFormat="1" ht="40.5">
      <c r="B1174" s="39"/>
      <c r="C1174" s="150">
        <f>C1171+1</f>
        <v>300</v>
      </c>
      <c r="D1174" s="150" t="s">
        <v>123</v>
      </c>
      <c r="E1174" s="151" t="s">
        <v>2558</v>
      </c>
      <c r="F1174" s="152" t="s">
        <v>2559</v>
      </c>
      <c r="G1174" s="153" t="s">
        <v>115</v>
      </c>
      <c r="H1174" s="154">
        <f>H1176</f>
        <v>1</v>
      </c>
      <c r="I1174" s="91"/>
      <c r="J1174" s="155">
        <f>ROUND(I1174*H1174,2)</f>
        <v>0</v>
      </c>
      <c r="K1174" s="152"/>
    </row>
    <row r="1175" spans="2:11" s="1" customFormat="1">
      <c r="B1175" s="39"/>
      <c r="C1175" s="11"/>
      <c r="D1175" s="142" t="s">
        <v>95</v>
      </c>
      <c r="E1175" s="143" t="s">
        <v>2</v>
      </c>
      <c r="F1175" s="144" t="s">
        <v>2557</v>
      </c>
      <c r="G1175" s="11"/>
      <c r="H1175" s="145">
        <f>1</f>
        <v>1</v>
      </c>
      <c r="I1175" s="11"/>
      <c r="J1175" s="11"/>
      <c r="K1175" s="11"/>
    </row>
    <row r="1176" spans="2:11" s="1" customFormat="1">
      <c r="B1176" s="39"/>
      <c r="C1176" s="146"/>
      <c r="D1176" s="142" t="s">
        <v>95</v>
      </c>
      <c r="E1176" s="147" t="s">
        <v>2</v>
      </c>
      <c r="F1176" s="148" t="s">
        <v>96</v>
      </c>
      <c r="G1176" s="12"/>
      <c r="H1176" s="149">
        <f>SUM(H1175:H1175)</f>
        <v>1</v>
      </c>
      <c r="I1176" s="149"/>
      <c r="J1176" s="12"/>
      <c r="K1176" s="12"/>
    </row>
    <row r="1177" spans="2:11" s="1" customFormat="1" ht="15.6" customHeight="1">
      <c r="B1177" s="39"/>
      <c r="C1177" s="135">
        <f>C1174+1</f>
        <v>301</v>
      </c>
      <c r="D1177" s="135" t="s">
        <v>65</v>
      </c>
      <c r="E1177" s="136" t="s">
        <v>2563</v>
      </c>
      <c r="F1177" s="137" t="s">
        <v>2560</v>
      </c>
      <c r="G1177" s="138" t="s">
        <v>115</v>
      </c>
      <c r="H1177" s="139">
        <f>H1179</f>
        <v>1</v>
      </c>
      <c r="I1177" s="90"/>
      <c r="J1177" s="140">
        <f>ROUND(I1177*H1177,2)</f>
        <v>0</v>
      </c>
      <c r="K1177" s="137"/>
    </row>
    <row r="1178" spans="2:11" s="1" customFormat="1">
      <c r="B1178" s="39"/>
      <c r="C1178" s="11"/>
      <c r="D1178" s="142" t="s">
        <v>95</v>
      </c>
      <c r="E1178" s="143" t="s">
        <v>2</v>
      </c>
      <c r="F1178" s="144" t="s">
        <v>2561</v>
      </c>
      <c r="G1178" s="11"/>
      <c r="H1178" s="145">
        <f>1</f>
        <v>1</v>
      </c>
      <c r="I1178" s="11"/>
      <c r="J1178" s="11"/>
      <c r="K1178" s="11"/>
    </row>
    <row r="1179" spans="2:11" s="1" customFormat="1">
      <c r="B1179" s="39"/>
      <c r="C1179" s="146"/>
      <c r="D1179" s="142" t="s">
        <v>95</v>
      </c>
      <c r="E1179" s="147" t="s">
        <v>2</v>
      </c>
      <c r="F1179" s="148" t="s">
        <v>96</v>
      </c>
      <c r="G1179" s="12"/>
      <c r="H1179" s="149">
        <f>SUM(H1178:H1178)</f>
        <v>1</v>
      </c>
      <c r="I1179" s="149"/>
      <c r="J1179" s="12"/>
      <c r="K1179" s="12"/>
    </row>
    <row r="1180" spans="2:11" s="1" customFormat="1" ht="27">
      <c r="B1180" s="39"/>
      <c r="C1180" s="150">
        <f>C1177+1</f>
        <v>302</v>
      </c>
      <c r="D1180" s="150" t="s">
        <v>123</v>
      </c>
      <c r="E1180" s="151" t="s">
        <v>2051</v>
      </c>
      <c r="F1180" s="152" t="s">
        <v>2562</v>
      </c>
      <c r="G1180" s="153" t="s">
        <v>115</v>
      </c>
      <c r="H1180" s="154">
        <f>H1182</f>
        <v>1</v>
      </c>
      <c r="I1180" s="91"/>
      <c r="J1180" s="155">
        <f>ROUND(I1180*H1180,2)</f>
        <v>0</v>
      </c>
      <c r="K1180" s="152"/>
    </row>
    <row r="1181" spans="2:11" s="1" customFormat="1">
      <c r="B1181" s="39"/>
      <c r="C1181" s="11"/>
      <c r="D1181" s="142" t="s">
        <v>95</v>
      </c>
      <c r="E1181" s="143" t="s">
        <v>2</v>
      </c>
      <c r="F1181" s="144" t="s">
        <v>2561</v>
      </c>
      <c r="G1181" s="11"/>
      <c r="H1181" s="145">
        <f>1</f>
        <v>1</v>
      </c>
      <c r="I1181" s="11"/>
      <c r="J1181" s="11"/>
      <c r="K1181" s="11"/>
    </row>
    <row r="1182" spans="2:11" s="1" customFormat="1">
      <c r="B1182" s="39"/>
      <c r="C1182" s="146"/>
      <c r="D1182" s="142" t="s">
        <v>95</v>
      </c>
      <c r="E1182" s="147" t="s">
        <v>2</v>
      </c>
      <c r="F1182" s="148" t="s">
        <v>96</v>
      </c>
      <c r="G1182" s="12"/>
      <c r="H1182" s="149">
        <f>SUM(H1181:H1181)</f>
        <v>1</v>
      </c>
      <c r="I1182" s="149"/>
      <c r="J1182" s="12"/>
      <c r="K1182" s="12"/>
    </row>
    <row r="1183" spans="2:11" s="1" customFormat="1" ht="15.6" customHeight="1">
      <c r="B1183" s="39"/>
      <c r="C1183" s="135">
        <f>C1180+1</f>
        <v>303</v>
      </c>
      <c r="D1183" s="135" t="s">
        <v>65</v>
      </c>
      <c r="E1183" s="136" t="s">
        <v>2587</v>
      </c>
      <c r="F1183" s="137" t="s">
        <v>2588</v>
      </c>
      <c r="G1183" s="138" t="s">
        <v>115</v>
      </c>
      <c r="H1183" s="139">
        <f>H1185</f>
        <v>1</v>
      </c>
      <c r="I1183" s="90"/>
      <c r="J1183" s="140">
        <f>ROUND(I1183*H1183,2)</f>
        <v>0</v>
      </c>
      <c r="K1183" s="137"/>
    </row>
    <row r="1184" spans="2:11" s="1" customFormat="1">
      <c r="B1184" s="39"/>
      <c r="C1184" s="11"/>
      <c r="D1184" s="142" t="s">
        <v>95</v>
      </c>
      <c r="E1184" s="143" t="s">
        <v>2</v>
      </c>
      <c r="F1184" s="144" t="s">
        <v>2592</v>
      </c>
      <c r="G1184" s="11"/>
      <c r="H1184" s="145">
        <f>1</f>
        <v>1</v>
      </c>
      <c r="I1184" s="11"/>
      <c r="J1184" s="11"/>
      <c r="K1184" s="11"/>
    </row>
    <row r="1185" spans="2:15" s="1" customFormat="1">
      <c r="B1185" s="39"/>
      <c r="C1185" s="146"/>
      <c r="D1185" s="142" t="s">
        <v>95</v>
      </c>
      <c r="E1185" s="147" t="s">
        <v>2</v>
      </c>
      <c r="F1185" s="148" t="s">
        <v>96</v>
      </c>
      <c r="G1185" s="12"/>
      <c r="H1185" s="149">
        <f>SUM(H1184:H1184)</f>
        <v>1</v>
      </c>
      <c r="I1185" s="149"/>
      <c r="J1185" s="12"/>
      <c r="K1185" s="12"/>
    </row>
    <row r="1186" spans="2:15" s="1" customFormat="1" ht="72.599999999999994" customHeight="1">
      <c r="B1186" s="39"/>
      <c r="C1186" s="150">
        <f>C1183+1</f>
        <v>304</v>
      </c>
      <c r="D1186" s="150" t="s">
        <v>123</v>
      </c>
      <c r="E1186" s="151" t="s">
        <v>2589</v>
      </c>
      <c r="F1186" s="152" t="s">
        <v>2590</v>
      </c>
      <c r="G1186" s="153" t="s">
        <v>115</v>
      </c>
      <c r="H1186" s="154">
        <f>H1188</f>
        <v>1</v>
      </c>
      <c r="I1186" s="91"/>
      <c r="J1186" s="155">
        <f>ROUND(I1186*H1186,2)</f>
        <v>0</v>
      </c>
      <c r="K1186" s="152"/>
    </row>
    <row r="1187" spans="2:15" s="1" customFormat="1">
      <c r="B1187" s="39"/>
      <c r="C1187" s="11"/>
      <c r="D1187" s="142" t="s">
        <v>95</v>
      </c>
      <c r="E1187" s="143" t="s">
        <v>2</v>
      </c>
      <c r="F1187" s="144" t="s">
        <v>2591</v>
      </c>
      <c r="G1187" s="11"/>
      <c r="H1187" s="145">
        <f>1</f>
        <v>1</v>
      </c>
      <c r="I1187" s="11"/>
      <c r="J1187" s="11"/>
      <c r="K1187" s="11"/>
    </row>
    <row r="1188" spans="2:15" s="1" customFormat="1">
      <c r="B1188" s="39"/>
      <c r="C1188" s="146"/>
      <c r="D1188" s="142" t="s">
        <v>95</v>
      </c>
      <c r="E1188" s="147" t="s">
        <v>2</v>
      </c>
      <c r="F1188" s="148" t="s">
        <v>96</v>
      </c>
      <c r="G1188" s="12"/>
      <c r="H1188" s="149">
        <f>SUM(H1187:H1187)</f>
        <v>1</v>
      </c>
      <c r="I1188" s="149"/>
      <c r="J1188" s="12"/>
      <c r="K1188" s="12"/>
    </row>
    <row r="1189" spans="2:15" s="1" customFormat="1" ht="15.6" customHeight="1">
      <c r="B1189" s="39"/>
      <c r="C1189" s="135">
        <f>C1186+1</f>
        <v>305</v>
      </c>
      <c r="D1189" s="135" t="s">
        <v>65</v>
      </c>
      <c r="E1189" s="136" t="s">
        <v>2593</v>
      </c>
      <c r="F1189" s="137" t="s">
        <v>2594</v>
      </c>
      <c r="G1189" s="138" t="s">
        <v>155</v>
      </c>
      <c r="H1189" s="139">
        <f>H1191</f>
        <v>1.99</v>
      </c>
      <c r="I1189" s="90"/>
      <c r="J1189" s="140">
        <f>ROUND(I1189*H1189,2)</f>
        <v>0</v>
      </c>
      <c r="K1189" s="137"/>
    </row>
    <row r="1190" spans="2:15" s="1" customFormat="1">
      <c r="B1190" s="39"/>
      <c r="C1190" s="11"/>
      <c r="D1190" s="142" t="s">
        <v>95</v>
      </c>
      <c r="E1190" s="143" t="s">
        <v>2</v>
      </c>
      <c r="F1190" s="144" t="s">
        <v>2595</v>
      </c>
      <c r="G1190" s="11"/>
      <c r="H1190" s="145">
        <v>1.99</v>
      </c>
      <c r="I1190" s="11"/>
      <c r="J1190" s="11"/>
      <c r="K1190" s="11"/>
    </row>
    <row r="1191" spans="2:15" s="1" customFormat="1">
      <c r="B1191" s="39"/>
      <c r="C1191" s="146"/>
      <c r="D1191" s="142" t="s">
        <v>95</v>
      </c>
      <c r="E1191" s="147" t="s">
        <v>2</v>
      </c>
      <c r="F1191" s="148" t="s">
        <v>96</v>
      </c>
      <c r="G1191" s="12"/>
      <c r="H1191" s="149">
        <f>SUM(H1190:H1190)</f>
        <v>1.99</v>
      </c>
      <c r="I1191" s="149"/>
      <c r="J1191" s="12"/>
      <c r="K1191" s="12"/>
    </row>
    <row r="1192" spans="2:15" s="1" customFormat="1" ht="15.6" customHeight="1">
      <c r="B1192" s="39"/>
      <c r="C1192" s="135">
        <f>C1189+1</f>
        <v>306</v>
      </c>
      <c r="D1192" s="135" t="s">
        <v>65</v>
      </c>
      <c r="E1192" s="136" t="s">
        <v>259</v>
      </c>
      <c r="F1192" s="137" t="s">
        <v>260</v>
      </c>
      <c r="G1192" s="138" t="s">
        <v>261</v>
      </c>
      <c r="H1192" s="139">
        <f>SUM(J1159:J1191)</f>
        <v>0</v>
      </c>
      <c r="I1192" s="90"/>
      <c r="J1192" s="140">
        <f>ROUND(I1192%*H1192,2)</f>
        <v>0</v>
      </c>
      <c r="K1192" s="137"/>
    </row>
    <row r="1193" spans="2:15" s="10" customFormat="1" ht="29.85" customHeight="1">
      <c r="B1193" s="128"/>
      <c r="D1193" s="129" t="s">
        <v>39</v>
      </c>
      <c r="E1193" s="133" t="s">
        <v>262</v>
      </c>
      <c r="F1193" s="133" t="s">
        <v>263</v>
      </c>
      <c r="J1193" s="134">
        <f>SUM(J1194:J1207)</f>
        <v>0</v>
      </c>
      <c r="O1193"/>
    </row>
    <row r="1194" spans="2:15" s="1" customFormat="1" ht="22.5" customHeight="1">
      <c r="B1194" s="39"/>
      <c r="C1194" s="135">
        <f>C1192+1</f>
        <v>307</v>
      </c>
      <c r="D1194" s="135" t="s">
        <v>65</v>
      </c>
      <c r="E1194" s="136" t="s">
        <v>1355</v>
      </c>
      <c r="F1194" s="137" t="s">
        <v>2564</v>
      </c>
      <c r="G1194" s="138" t="s">
        <v>101</v>
      </c>
      <c r="H1194" s="139">
        <f>H1203</f>
        <v>9.5040000000000013E-2</v>
      </c>
      <c r="I1194" s="90"/>
      <c r="J1194" s="140">
        <f t="shared" ref="J1194" si="55">ROUND(I1194*H1194,2)</f>
        <v>0</v>
      </c>
      <c r="K1194" s="137"/>
    </row>
    <row r="1195" spans="2:15" s="11" customFormat="1" ht="24" customHeight="1">
      <c r="B1195" s="141"/>
      <c r="D1195" s="142" t="s">
        <v>95</v>
      </c>
      <c r="E1195" s="143" t="s">
        <v>2</v>
      </c>
      <c r="F1195" s="144" t="s">
        <v>2567</v>
      </c>
      <c r="H1195" s="145">
        <f>(2.4/0.3*0.002)*0.6*2</f>
        <v>1.9199999999999998E-2</v>
      </c>
      <c r="O1195" s="1"/>
    </row>
    <row r="1196" spans="2:15" s="11" customFormat="1" ht="24" customHeight="1">
      <c r="B1196" s="141"/>
      <c r="D1196" s="142" t="s">
        <v>95</v>
      </c>
      <c r="E1196" s="143" t="s">
        <v>2</v>
      </c>
      <c r="F1196" s="144" t="s">
        <v>2565</v>
      </c>
      <c r="H1196" s="145">
        <f>(1.74/0.3*0.002)*0.6*2</f>
        <v>1.3919999999999998E-2</v>
      </c>
      <c r="O1196" s="1"/>
    </row>
    <row r="1197" spans="2:15" s="11" customFormat="1" ht="24" customHeight="1">
      <c r="B1197" s="141"/>
      <c r="D1197" s="142" t="s">
        <v>95</v>
      </c>
      <c r="E1197" s="143" t="s">
        <v>2</v>
      </c>
      <c r="F1197" s="144" t="s">
        <v>1361</v>
      </c>
      <c r="H1197" s="145">
        <f>(1.54/0.3*0.002)*0.3*2</f>
        <v>6.1599999999999997E-3</v>
      </c>
      <c r="O1197" s="1"/>
    </row>
    <row r="1198" spans="2:15" s="11" customFormat="1" ht="24" customHeight="1">
      <c r="B1198" s="141"/>
      <c r="D1198" s="142" t="s">
        <v>95</v>
      </c>
      <c r="E1198" s="143" t="s">
        <v>2</v>
      </c>
      <c r="F1198" s="144" t="s">
        <v>1360</v>
      </c>
      <c r="H1198" s="145">
        <f>(1.54/0.3*0.002)*0.6*2</f>
        <v>1.2319999999999999E-2</v>
      </c>
      <c r="O1198" s="1"/>
    </row>
    <row r="1199" spans="2:15" s="11" customFormat="1" ht="24" customHeight="1">
      <c r="B1199" s="141"/>
      <c r="D1199" s="142" t="s">
        <v>95</v>
      </c>
      <c r="E1199" s="143" t="s">
        <v>2</v>
      </c>
      <c r="F1199" s="144" t="s">
        <v>1359</v>
      </c>
      <c r="H1199" s="145">
        <f>(1.54/0.3*0.002)*0.6*2</f>
        <v>1.2319999999999999E-2</v>
      </c>
      <c r="O1199" s="1"/>
    </row>
    <row r="1200" spans="2:15" s="11" customFormat="1" ht="24" customHeight="1">
      <c r="B1200" s="141"/>
      <c r="D1200" s="142" t="s">
        <v>95</v>
      </c>
      <c r="E1200" s="143" t="s">
        <v>2</v>
      </c>
      <c r="F1200" s="144" t="s">
        <v>2566</v>
      </c>
      <c r="H1200" s="145">
        <f>((1.54+0.35)/0.3*0.002)*0.6*2</f>
        <v>1.5120000000000001E-2</v>
      </c>
      <c r="O1200" s="1"/>
    </row>
    <row r="1201" spans="2:15" s="11" customFormat="1" ht="24" customHeight="1">
      <c r="B1201" s="141"/>
      <c r="D1201" s="142" t="s">
        <v>95</v>
      </c>
      <c r="E1201" s="143" t="s">
        <v>2</v>
      </c>
      <c r="F1201" s="144" t="s">
        <v>1358</v>
      </c>
      <c r="H1201" s="145">
        <f>(1/0.3*0.002)*0.6*2</f>
        <v>8.0000000000000002E-3</v>
      </c>
      <c r="O1201" s="1"/>
    </row>
    <row r="1202" spans="2:15" s="11" customFormat="1" ht="24" customHeight="1">
      <c r="B1202" s="141"/>
      <c r="D1202" s="142" t="s">
        <v>95</v>
      </c>
      <c r="E1202" s="143" t="s">
        <v>2</v>
      </c>
      <c r="F1202" s="144" t="s">
        <v>1357</v>
      </c>
      <c r="H1202" s="145">
        <f>(1/0.3*0.002)*0.6*2</f>
        <v>8.0000000000000002E-3</v>
      </c>
      <c r="O1202" s="1"/>
    </row>
    <row r="1203" spans="2:15" s="12" customFormat="1">
      <c r="B1203" s="146"/>
      <c r="D1203" s="142" t="s">
        <v>95</v>
      </c>
      <c r="E1203" s="147" t="s">
        <v>2</v>
      </c>
      <c r="F1203" s="148" t="s">
        <v>96</v>
      </c>
      <c r="H1203" s="149">
        <f>SUM(H1195:H1202)</f>
        <v>9.5040000000000013E-2</v>
      </c>
      <c r="O1203" s="1"/>
    </row>
    <row r="1204" spans="2:15" s="1" customFormat="1" ht="31.5" customHeight="1">
      <c r="B1204" s="39"/>
      <c r="C1204" s="135">
        <f>C1194+1</f>
        <v>308</v>
      </c>
      <c r="D1204" s="135" t="s">
        <v>65</v>
      </c>
      <c r="E1204" s="136" t="s">
        <v>264</v>
      </c>
      <c r="F1204" s="137" t="s">
        <v>1374</v>
      </c>
      <c r="G1204" s="138" t="s">
        <v>155</v>
      </c>
      <c r="H1204" s="139">
        <f>H1206</f>
        <v>4.8</v>
      </c>
      <c r="I1204" s="90"/>
      <c r="J1204" s="140">
        <f t="shared" ref="J1204" si="56">ROUND(I1204*H1204,2)</f>
        <v>0</v>
      </c>
      <c r="K1204" s="137"/>
    </row>
    <row r="1205" spans="2:15" s="1" customFormat="1">
      <c r="B1205" s="39"/>
      <c r="C1205" s="11"/>
      <c r="D1205" s="142" t="s">
        <v>95</v>
      </c>
      <c r="E1205" s="143" t="s">
        <v>2</v>
      </c>
      <c r="F1205" s="144" t="s">
        <v>1375</v>
      </c>
      <c r="G1205" s="11"/>
      <c r="H1205" s="145">
        <f>1.2*(2+1+1)</f>
        <v>4.8</v>
      </c>
      <c r="I1205" s="11"/>
      <c r="J1205" s="11"/>
      <c r="K1205" s="11"/>
    </row>
    <row r="1206" spans="2:15" s="1" customFormat="1">
      <c r="B1206" s="39"/>
      <c r="C1206" s="146"/>
      <c r="D1206" s="142" t="s">
        <v>95</v>
      </c>
      <c r="E1206" s="147" t="s">
        <v>2</v>
      </c>
      <c r="F1206" s="148" t="s">
        <v>96</v>
      </c>
      <c r="G1206" s="12"/>
      <c r="H1206" s="149">
        <f>SUM(H1205:H1205)</f>
        <v>4.8</v>
      </c>
      <c r="I1206" s="149"/>
      <c r="J1206" s="12"/>
      <c r="K1206" s="12"/>
    </row>
    <row r="1207" spans="2:15" s="1" customFormat="1" ht="22.5" customHeight="1">
      <c r="B1207" s="39"/>
      <c r="C1207" s="135">
        <f>C1204+1</f>
        <v>309</v>
      </c>
      <c r="D1207" s="135" t="s">
        <v>65</v>
      </c>
      <c r="E1207" s="136" t="s">
        <v>266</v>
      </c>
      <c r="F1207" s="137" t="s">
        <v>267</v>
      </c>
      <c r="G1207" s="138" t="s">
        <v>261</v>
      </c>
      <c r="H1207" s="139">
        <f>SUM(J1194:J1206)</f>
        <v>0</v>
      </c>
      <c r="I1207" s="90"/>
      <c r="J1207" s="140">
        <f>ROUND(I1207%*H1207,2)</f>
        <v>0</v>
      </c>
      <c r="K1207" s="137"/>
    </row>
    <row r="1208" spans="2:15" s="10" customFormat="1" ht="29.85" customHeight="1">
      <c r="B1208" s="128"/>
      <c r="D1208" s="129" t="s">
        <v>39</v>
      </c>
      <c r="E1208" s="133" t="s">
        <v>268</v>
      </c>
      <c r="F1208" s="133" t="s">
        <v>269</v>
      </c>
      <c r="J1208" s="134">
        <f>SUM(J1209:J1245)</f>
        <v>0</v>
      </c>
      <c r="O1208"/>
    </row>
    <row r="1209" spans="2:15" s="1" customFormat="1" ht="27">
      <c r="B1209" s="39"/>
      <c r="C1209" s="135">
        <f>C1207+1</f>
        <v>310</v>
      </c>
      <c r="D1209" s="135" t="s">
        <v>65</v>
      </c>
      <c r="E1209" s="136" t="s">
        <v>270</v>
      </c>
      <c r="F1209" s="137" t="s">
        <v>1385</v>
      </c>
      <c r="G1209" s="138" t="s">
        <v>155</v>
      </c>
      <c r="H1209" s="139">
        <f>H1214</f>
        <v>3.7</v>
      </c>
      <c r="I1209" s="90"/>
      <c r="J1209" s="140">
        <f>ROUND(I1209*H1209,2)</f>
        <v>0</v>
      </c>
      <c r="K1209" s="137"/>
    </row>
    <row r="1210" spans="2:15" s="11" customFormat="1">
      <c r="B1210" s="141"/>
      <c r="D1210" s="142" t="s">
        <v>95</v>
      </c>
      <c r="E1210" s="143" t="s">
        <v>2</v>
      </c>
      <c r="F1210" s="144" t="s">
        <v>1388</v>
      </c>
      <c r="H1210" s="145">
        <f>(0.3*2)</f>
        <v>0.6</v>
      </c>
      <c r="O1210" s="1"/>
    </row>
    <row r="1211" spans="2:15" s="11" customFormat="1">
      <c r="B1211" s="141"/>
      <c r="D1211" s="142" t="s">
        <v>95</v>
      </c>
      <c r="E1211" s="143" t="s">
        <v>2</v>
      </c>
      <c r="F1211" s="144" t="s">
        <v>1377</v>
      </c>
      <c r="H1211" s="145">
        <f>(0.55*2)</f>
        <v>1.1000000000000001</v>
      </c>
      <c r="O1211" s="1"/>
    </row>
    <row r="1212" spans="2:15" s="11" customFormat="1">
      <c r="B1212" s="141"/>
      <c r="D1212" s="142" t="s">
        <v>95</v>
      </c>
      <c r="E1212" s="143" t="s">
        <v>2</v>
      </c>
      <c r="F1212" s="144" t="s">
        <v>1378</v>
      </c>
      <c r="H1212" s="145">
        <f>(0.5*2)</f>
        <v>1</v>
      </c>
      <c r="O1212" s="1"/>
    </row>
    <row r="1213" spans="2:15" s="11" customFormat="1">
      <c r="B1213" s="141"/>
      <c r="D1213" s="142" t="s">
        <v>95</v>
      </c>
      <c r="E1213" s="143" t="s">
        <v>2</v>
      </c>
      <c r="F1213" s="144" t="s">
        <v>1379</v>
      </c>
      <c r="H1213" s="145">
        <f>(0.5*2)</f>
        <v>1</v>
      </c>
      <c r="O1213" s="1"/>
    </row>
    <row r="1214" spans="2:15" s="12" customFormat="1">
      <c r="B1214" s="146"/>
      <c r="D1214" s="142" t="s">
        <v>95</v>
      </c>
      <c r="E1214" s="147" t="s">
        <v>2</v>
      </c>
      <c r="F1214" s="148" t="s">
        <v>96</v>
      </c>
      <c r="H1214" s="149">
        <f>SUM(H1210:H1213)</f>
        <v>3.7</v>
      </c>
      <c r="O1214" s="1"/>
    </row>
    <row r="1215" spans="2:15" s="1" customFormat="1" ht="31.15" customHeight="1">
      <c r="B1215" s="39"/>
      <c r="C1215" s="150">
        <f>C1209+1</f>
        <v>311</v>
      </c>
      <c r="D1215" s="150" t="s">
        <v>123</v>
      </c>
      <c r="E1215" s="151" t="s">
        <v>271</v>
      </c>
      <c r="F1215" s="152" t="s">
        <v>1380</v>
      </c>
      <c r="G1215" s="153" t="s">
        <v>105</v>
      </c>
      <c r="H1215" s="154">
        <f>H1220</f>
        <v>0.63824999999999998</v>
      </c>
      <c r="I1215" s="91"/>
      <c r="J1215" s="155">
        <f>ROUND(I1215*H1215,2)</f>
        <v>0</v>
      </c>
      <c r="K1215" s="152"/>
    </row>
    <row r="1216" spans="2:15" s="11" customFormat="1">
      <c r="B1216" s="141"/>
      <c r="D1216" s="142" t="s">
        <v>95</v>
      </c>
      <c r="E1216" s="143" t="s">
        <v>2</v>
      </c>
      <c r="F1216" s="144" t="s">
        <v>1389</v>
      </c>
      <c r="H1216" s="145">
        <f>(0.3*0.15)*2*1.15</f>
        <v>0.10349999999999999</v>
      </c>
      <c r="O1216" s="1"/>
    </row>
    <row r="1217" spans="2:15" s="11" customFormat="1">
      <c r="B1217" s="141"/>
      <c r="D1217" s="142" t="s">
        <v>95</v>
      </c>
      <c r="E1217" s="143" t="s">
        <v>2</v>
      </c>
      <c r="F1217" s="144" t="s">
        <v>1381</v>
      </c>
      <c r="H1217" s="145">
        <f>(0.55*0.15)*2*1.15</f>
        <v>0.18975</v>
      </c>
      <c r="O1217" s="1"/>
    </row>
    <row r="1218" spans="2:15" s="11" customFormat="1">
      <c r="B1218" s="141"/>
      <c r="D1218" s="142" t="s">
        <v>95</v>
      </c>
      <c r="E1218" s="143" t="s">
        <v>2</v>
      </c>
      <c r="F1218" s="144" t="s">
        <v>1382</v>
      </c>
      <c r="H1218" s="145">
        <f>(0.5*0.15)*2*1.15</f>
        <v>0.17249999999999999</v>
      </c>
      <c r="O1218" s="1"/>
    </row>
    <row r="1219" spans="2:15" s="11" customFormat="1">
      <c r="B1219" s="141"/>
      <c r="D1219" s="142" t="s">
        <v>95</v>
      </c>
      <c r="E1219" s="143" t="s">
        <v>2</v>
      </c>
      <c r="F1219" s="144" t="s">
        <v>1383</v>
      </c>
      <c r="H1219" s="145">
        <f>(0.5*0.15)*2*1.15</f>
        <v>0.17249999999999999</v>
      </c>
      <c r="O1219" s="1"/>
    </row>
    <row r="1220" spans="2:15" s="12" customFormat="1">
      <c r="B1220" s="146"/>
      <c r="D1220" s="142" t="s">
        <v>95</v>
      </c>
      <c r="E1220" s="147" t="s">
        <v>2</v>
      </c>
      <c r="F1220" s="148" t="s">
        <v>96</v>
      </c>
      <c r="H1220" s="149">
        <f>SUM(H1216:H1219)</f>
        <v>0.63824999999999998</v>
      </c>
      <c r="O1220" s="1"/>
    </row>
    <row r="1221" spans="2:15" s="1" customFormat="1" ht="22.5" customHeight="1">
      <c r="B1221" s="39"/>
      <c r="C1221" s="135">
        <f>C1215+1</f>
        <v>312</v>
      </c>
      <c r="D1221" s="135" t="s">
        <v>65</v>
      </c>
      <c r="E1221" s="136" t="s">
        <v>272</v>
      </c>
      <c r="F1221" s="137" t="s">
        <v>1384</v>
      </c>
      <c r="G1221" s="138" t="s">
        <v>105</v>
      </c>
      <c r="H1221" s="139">
        <f>H1226</f>
        <v>6.8940000000000001</v>
      </c>
      <c r="I1221" s="90"/>
      <c r="J1221" s="140">
        <f>ROUND(I1221*H1221,2)</f>
        <v>0</v>
      </c>
      <c r="K1221" s="137"/>
    </row>
    <row r="1222" spans="2:15" s="11" customFormat="1">
      <c r="B1222" s="141"/>
      <c r="D1222" s="142" t="s">
        <v>95</v>
      </c>
      <c r="E1222" s="143" t="s">
        <v>2</v>
      </c>
      <c r="F1222" s="144" t="s">
        <v>2569</v>
      </c>
      <c r="H1222" s="145">
        <f>(2*2.305)+(0.3*1.14)</f>
        <v>4.952</v>
      </c>
      <c r="O1222" s="1"/>
    </row>
    <row r="1223" spans="2:15" s="11" customFormat="1">
      <c r="B1223" s="141"/>
      <c r="D1223" s="142" t="s">
        <v>95</v>
      </c>
      <c r="E1223" s="143" t="s">
        <v>2</v>
      </c>
      <c r="F1223" s="144" t="s">
        <v>1386</v>
      </c>
      <c r="H1223" s="145">
        <f>(0.55*1.14)</f>
        <v>0.627</v>
      </c>
      <c r="O1223" s="1"/>
    </row>
    <row r="1224" spans="2:15" s="11" customFormat="1">
      <c r="B1224" s="141"/>
      <c r="D1224" s="142" t="s">
        <v>95</v>
      </c>
      <c r="E1224" s="143" t="s">
        <v>2</v>
      </c>
      <c r="F1224" s="144" t="s">
        <v>1387</v>
      </c>
      <c r="H1224" s="145">
        <f>(0.5*1.14)</f>
        <v>0.56999999999999995</v>
      </c>
      <c r="O1224" s="1"/>
    </row>
    <row r="1225" spans="2:15" s="11" customFormat="1">
      <c r="B1225" s="141"/>
      <c r="D1225" s="142" t="s">
        <v>95</v>
      </c>
      <c r="E1225" s="143" t="s">
        <v>2</v>
      </c>
      <c r="F1225" s="144" t="s">
        <v>2568</v>
      </c>
      <c r="H1225" s="145">
        <f>(0.5*(1.14+0.35))</f>
        <v>0.74499999999999988</v>
      </c>
      <c r="O1225" s="1"/>
    </row>
    <row r="1226" spans="2:15" s="12" customFormat="1">
      <c r="B1226" s="146"/>
      <c r="D1226" s="142" t="s">
        <v>95</v>
      </c>
      <c r="E1226" s="147" t="s">
        <v>2</v>
      </c>
      <c r="F1226" s="148" t="s">
        <v>96</v>
      </c>
      <c r="H1226" s="149">
        <f>SUM(H1222:H1225)</f>
        <v>6.8940000000000001</v>
      </c>
      <c r="O1226" s="1"/>
    </row>
    <row r="1227" spans="2:15" s="1" customFormat="1" ht="31.15" customHeight="1">
      <c r="B1227" s="39"/>
      <c r="C1227" s="150">
        <f>C1221+1</f>
        <v>313</v>
      </c>
      <c r="D1227" s="150" t="s">
        <v>123</v>
      </c>
      <c r="E1227" s="151" t="s">
        <v>271</v>
      </c>
      <c r="F1227" s="152" t="s">
        <v>1390</v>
      </c>
      <c r="G1227" s="153" t="s">
        <v>105</v>
      </c>
      <c r="H1227" s="154">
        <f>H1232</f>
        <v>7.3909000000000002</v>
      </c>
      <c r="I1227" s="91"/>
      <c r="J1227" s="155">
        <f>ROUND(I1227*H1227,2)</f>
        <v>0</v>
      </c>
      <c r="K1227" s="152"/>
    </row>
    <row r="1228" spans="2:15" s="11" customFormat="1" ht="24" customHeight="1">
      <c r="B1228" s="141"/>
      <c r="D1228" s="142" t="s">
        <v>95</v>
      </c>
      <c r="E1228" s="143" t="s">
        <v>2</v>
      </c>
      <c r="F1228" s="144" t="s">
        <v>2570</v>
      </c>
      <c r="H1228" s="145">
        <f>((2*2.305)+(0.3*1.14))*1.1</f>
        <v>5.4472000000000005</v>
      </c>
      <c r="O1228" s="1"/>
    </row>
    <row r="1229" spans="2:15" s="11" customFormat="1">
      <c r="B1229" s="141"/>
      <c r="D1229" s="142" t="s">
        <v>95</v>
      </c>
      <c r="E1229" s="143" t="s">
        <v>2</v>
      </c>
      <c r="F1229" s="144" t="s">
        <v>1391</v>
      </c>
      <c r="H1229" s="145">
        <f>(0.55*1.14)*1.1</f>
        <v>0.68970000000000009</v>
      </c>
      <c r="O1229" s="1"/>
    </row>
    <row r="1230" spans="2:15" s="11" customFormat="1">
      <c r="B1230" s="141"/>
      <c r="D1230" s="142" t="s">
        <v>95</v>
      </c>
      <c r="E1230" s="143" t="s">
        <v>2</v>
      </c>
      <c r="F1230" s="144" t="s">
        <v>1392</v>
      </c>
      <c r="H1230" s="145">
        <f>(0.5*1.14)*1.1</f>
        <v>0.627</v>
      </c>
      <c r="O1230" s="1"/>
    </row>
    <row r="1231" spans="2:15" s="11" customFormat="1">
      <c r="B1231" s="141"/>
      <c r="D1231" s="142" t="s">
        <v>95</v>
      </c>
      <c r="E1231" s="143" t="s">
        <v>2</v>
      </c>
      <c r="F1231" s="144" t="s">
        <v>1393</v>
      </c>
      <c r="H1231" s="145">
        <f>(0.5*1.14)*1.1</f>
        <v>0.627</v>
      </c>
      <c r="O1231" s="1"/>
    </row>
    <row r="1232" spans="2:15" s="12" customFormat="1">
      <c r="B1232" s="146"/>
      <c r="D1232" s="142" t="s">
        <v>95</v>
      </c>
      <c r="E1232" s="147" t="s">
        <v>2</v>
      </c>
      <c r="F1232" s="148" t="s">
        <v>96</v>
      </c>
      <c r="H1232" s="149">
        <f>SUM(H1228:H1231)</f>
        <v>7.3909000000000002</v>
      </c>
      <c r="O1232" s="1"/>
    </row>
    <row r="1233" spans="2:15" s="1" customFormat="1" ht="22.5" customHeight="1">
      <c r="B1233" s="39"/>
      <c r="C1233" s="135">
        <f>C1227+1</f>
        <v>314</v>
      </c>
      <c r="D1233" s="135" t="s">
        <v>65</v>
      </c>
      <c r="E1233" s="136" t="s">
        <v>1404</v>
      </c>
      <c r="F1233" s="137" t="s">
        <v>1405</v>
      </c>
      <c r="G1233" s="138" t="s">
        <v>105</v>
      </c>
      <c r="H1233" s="139">
        <f>H1238</f>
        <v>7.2739999999999991</v>
      </c>
      <c r="I1233" s="90"/>
      <c r="J1233" s="140">
        <f>ROUND(I1233*H1233,2)</f>
        <v>0</v>
      </c>
      <c r="K1233" s="137"/>
    </row>
    <row r="1234" spans="2:15" s="11" customFormat="1" ht="27">
      <c r="B1234" s="141"/>
      <c r="D1234" s="142" t="s">
        <v>95</v>
      </c>
      <c r="E1234" s="143" t="s">
        <v>2</v>
      </c>
      <c r="F1234" s="144" t="s">
        <v>2571</v>
      </c>
      <c r="H1234" s="145">
        <f>(((2*2.305)+(0.3*1.14)))+(0.15*0.3*2)</f>
        <v>5.0419999999999998</v>
      </c>
      <c r="O1234" s="1"/>
    </row>
    <row r="1235" spans="2:15" s="11" customFormat="1">
      <c r="B1235" s="141"/>
      <c r="D1235" s="142" t="s">
        <v>95</v>
      </c>
      <c r="E1235" s="143" t="s">
        <v>2</v>
      </c>
      <c r="F1235" s="144" t="s">
        <v>1394</v>
      </c>
      <c r="H1235" s="145">
        <f>(0.55*1.14)+(0.15*0.55*2)</f>
        <v>0.79200000000000004</v>
      </c>
      <c r="O1235" s="1"/>
    </row>
    <row r="1236" spans="2:15" s="11" customFormat="1" ht="27">
      <c r="B1236" s="141"/>
      <c r="D1236" s="142" t="s">
        <v>95</v>
      </c>
      <c r="E1236" s="143" t="s">
        <v>2</v>
      </c>
      <c r="F1236" s="144" t="s">
        <v>1395</v>
      </c>
      <c r="H1236" s="145">
        <f>(0.5*1.14)+(0.15*0.5*2)</f>
        <v>0.72</v>
      </c>
      <c r="O1236" s="1"/>
    </row>
    <row r="1237" spans="2:15" s="11" customFormat="1">
      <c r="B1237" s="141"/>
      <c r="D1237" s="142" t="s">
        <v>95</v>
      </c>
      <c r="E1237" s="143" t="s">
        <v>2</v>
      </c>
      <c r="F1237" s="144" t="s">
        <v>1396</v>
      </c>
      <c r="H1237" s="145">
        <f>(0.5*1.14)+(0.15*0.5*2)</f>
        <v>0.72</v>
      </c>
      <c r="O1237" s="1"/>
    </row>
    <row r="1238" spans="2:15" s="12" customFormat="1">
      <c r="B1238" s="146"/>
      <c r="D1238" s="142" t="s">
        <v>95</v>
      </c>
      <c r="E1238" s="147" t="s">
        <v>2</v>
      </c>
      <c r="F1238" s="148" t="s">
        <v>96</v>
      </c>
      <c r="H1238" s="149">
        <f>SUM(H1234:H1237)</f>
        <v>7.2739999999999991</v>
      </c>
      <c r="O1238" s="1"/>
    </row>
    <row r="1239" spans="2:15" s="1" customFormat="1" ht="22.5" customHeight="1">
      <c r="B1239" s="39"/>
      <c r="C1239" s="135">
        <f>C1233+1</f>
        <v>315</v>
      </c>
      <c r="D1239" s="135" t="s">
        <v>65</v>
      </c>
      <c r="E1239" s="136" t="s">
        <v>273</v>
      </c>
      <c r="F1239" s="137" t="s">
        <v>274</v>
      </c>
      <c r="G1239" s="138" t="s">
        <v>105</v>
      </c>
      <c r="H1239" s="139">
        <f>H1244</f>
        <v>7.2739999999999991</v>
      </c>
      <c r="I1239" s="90"/>
      <c r="J1239" s="140">
        <f>ROUND(I1239*H1239,2)</f>
        <v>0</v>
      </c>
      <c r="K1239" s="137"/>
    </row>
    <row r="1240" spans="2:15" s="11" customFormat="1" ht="27">
      <c r="B1240" s="141"/>
      <c r="D1240" s="142" t="s">
        <v>95</v>
      </c>
      <c r="E1240" s="143" t="s">
        <v>2</v>
      </c>
      <c r="F1240" s="144" t="s">
        <v>2571</v>
      </c>
      <c r="H1240" s="145">
        <f>(((2*2.305)+(0.3*1.14)))+(0.15*0.3*2)</f>
        <v>5.0419999999999998</v>
      </c>
      <c r="O1240" s="1"/>
    </row>
    <row r="1241" spans="2:15" s="11" customFormat="1">
      <c r="B1241" s="141"/>
      <c r="D1241" s="142" t="s">
        <v>95</v>
      </c>
      <c r="E1241" s="143" t="s">
        <v>2</v>
      </c>
      <c r="F1241" s="144" t="s">
        <v>1394</v>
      </c>
      <c r="H1241" s="145">
        <f>(0.55*1.14)+(0.15*0.55*2)</f>
        <v>0.79200000000000004</v>
      </c>
      <c r="O1241" s="1"/>
    </row>
    <row r="1242" spans="2:15" s="11" customFormat="1" ht="27">
      <c r="B1242" s="141"/>
      <c r="D1242" s="142" t="s">
        <v>95</v>
      </c>
      <c r="E1242" s="143" t="s">
        <v>2</v>
      </c>
      <c r="F1242" s="144" t="s">
        <v>1395</v>
      </c>
      <c r="H1242" s="145">
        <f>(0.5*1.14)+(0.15*0.5*2)</f>
        <v>0.72</v>
      </c>
      <c r="O1242" s="1"/>
    </row>
    <row r="1243" spans="2:15" s="11" customFormat="1">
      <c r="B1243" s="141"/>
      <c r="D1243" s="142" t="s">
        <v>95</v>
      </c>
      <c r="E1243" s="143" t="s">
        <v>2</v>
      </c>
      <c r="F1243" s="144" t="s">
        <v>1396</v>
      </c>
      <c r="H1243" s="145">
        <f>(0.5*1.14)+(0.15*0.5*2)</f>
        <v>0.72</v>
      </c>
      <c r="O1243" s="1"/>
    </row>
    <row r="1244" spans="2:15" s="12" customFormat="1">
      <c r="B1244" s="146"/>
      <c r="D1244" s="142" t="s">
        <v>95</v>
      </c>
      <c r="E1244" s="147" t="s">
        <v>2</v>
      </c>
      <c r="F1244" s="148" t="s">
        <v>96</v>
      </c>
      <c r="H1244" s="149">
        <f>SUM(H1240:H1243)</f>
        <v>7.2739999999999991</v>
      </c>
      <c r="O1244" s="1"/>
    </row>
    <row r="1245" spans="2:15" s="1" customFormat="1" ht="22.5" customHeight="1">
      <c r="B1245" s="39"/>
      <c r="C1245" s="135">
        <f>C1239+1</f>
        <v>316</v>
      </c>
      <c r="D1245" s="135" t="s">
        <v>65</v>
      </c>
      <c r="E1245" s="136" t="s">
        <v>1398</v>
      </c>
      <c r="F1245" s="137" t="s">
        <v>1397</v>
      </c>
      <c r="G1245" s="138" t="s">
        <v>261</v>
      </c>
      <c r="H1245" s="139">
        <f>SUM(J1209:J1244)</f>
        <v>0</v>
      </c>
      <c r="I1245" s="90"/>
      <c r="J1245" s="140">
        <f>ROUND(I1245%*H1245,2)</f>
        <v>0</v>
      </c>
      <c r="K1245" s="137"/>
    </row>
    <row r="1246" spans="2:15" s="10" customFormat="1" ht="29.85" customHeight="1">
      <c r="B1246" s="128"/>
      <c r="D1246" s="129" t="s">
        <v>39</v>
      </c>
      <c r="E1246" s="133" t="s">
        <v>275</v>
      </c>
      <c r="F1246" s="133" t="s">
        <v>276</v>
      </c>
      <c r="J1246" s="134">
        <f>SUM(J1247:J1259)</f>
        <v>0</v>
      </c>
      <c r="O1246"/>
    </row>
    <row r="1247" spans="2:15" s="1" customFormat="1" ht="31.5" customHeight="1">
      <c r="B1247" s="39"/>
      <c r="C1247" s="135">
        <f>C1245+1</f>
        <v>317</v>
      </c>
      <c r="D1247" s="135" t="s">
        <v>65</v>
      </c>
      <c r="E1247" s="136" t="s">
        <v>1399</v>
      </c>
      <c r="F1247" s="137" t="s">
        <v>2168</v>
      </c>
      <c r="G1247" s="138" t="s">
        <v>105</v>
      </c>
      <c r="H1247" s="139">
        <f>H1249</f>
        <v>4.9000000000000004</v>
      </c>
      <c r="I1247" s="90"/>
      <c r="J1247" s="140">
        <f>ROUND(I1247*H1247,2)</f>
        <v>0</v>
      </c>
      <c r="K1247" s="137"/>
    </row>
    <row r="1248" spans="2:15" s="11" customFormat="1">
      <c r="B1248" s="141"/>
      <c r="D1248" s="142" t="s">
        <v>95</v>
      </c>
      <c r="E1248" s="143" t="s">
        <v>2</v>
      </c>
      <c r="F1248" s="144" t="s">
        <v>2572</v>
      </c>
      <c r="H1248" s="145">
        <f>(2.3+2.955+2.245+2.3)*0.5</f>
        <v>4.9000000000000004</v>
      </c>
      <c r="O1248" s="1"/>
    </row>
    <row r="1249" spans="2:16" s="12" customFormat="1">
      <c r="B1249" s="146"/>
      <c r="D1249" s="142" t="s">
        <v>95</v>
      </c>
      <c r="E1249" s="147" t="s">
        <v>2</v>
      </c>
      <c r="F1249" s="148" t="s">
        <v>96</v>
      </c>
      <c r="H1249" s="149">
        <f>SUM(H1248:H1248)</f>
        <v>4.9000000000000004</v>
      </c>
      <c r="O1249" s="1"/>
    </row>
    <row r="1250" spans="2:16" s="1" customFormat="1" ht="31.15" customHeight="1">
      <c r="B1250" s="39"/>
      <c r="C1250" s="150">
        <f>C1247+1</f>
        <v>318</v>
      </c>
      <c r="D1250" s="150" t="s">
        <v>123</v>
      </c>
      <c r="E1250" s="151" t="s">
        <v>271</v>
      </c>
      <c r="F1250" s="152" t="s">
        <v>1400</v>
      </c>
      <c r="G1250" s="153" t="s">
        <v>105</v>
      </c>
      <c r="H1250" s="154">
        <f>H1252</f>
        <v>5.3900000000000006</v>
      </c>
      <c r="I1250" s="91"/>
      <c r="J1250" s="155">
        <f>ROUND(I1250*H1250,2)</f>
        <v>0</v>
      </c>
      <c r="K1250" s="152"/>
    </row>
    <row r="1251" spans="2:16" s="11" customFormat="1">
      <c r="B1251" s="141"/>
      <c r="D1251" s="142" t="s">
        <v>95</v>
      </c>
      <c r="E1251" s="143" t="s">
        <v>2</v>
      </c>
      <c r="F1251" s="144" t="s">
        <v>2573</v>
      </c>
      <c r="H1251" s="145">
        <f>(2.3+2.955+2.245+2.3)*0.5*1.1</f>
        <v>5.3900000000000006</v>
      </c>
      <c r="O1251" s="1"/>
    </row>
    <row r="1252" spans="2:16" s="12" customFormat="1">
      <c r="B1252" s="146"/>
      <c r="D1252" s="142" t="s">
        <v>95</v>
      </c>
      <c r="E1252" s="147" t="s">
        <v>2</v>
      </c>
      <c r="F1252" s="148" t="s">
        <v>96</v>
      </c>
      <c r="H1252" s="149">
        <f>SUM(H1251:H1251)</f>
        <v>5.3900000000000006</v>
      </c>
      <c r="O1252" s="1"/>
    </row>
    <row r="1253" spans="2:16" s="1" customFormat="1" ht="22.5" customHeight="1">
      <c r="B1253" s="39"/>
      <c r="C1253" s="135">
        <f>C1250+1</f>
        <v>319</v>
      </c>
      <c r="D1253" s="135" t="s">
        <v>65</v>
      </c>
      <c r="E1253" s="136" t="s">
        <v>280</v>
      </c>
      <c r="F1253" s="137" t="s">
        <v>2176</v>
      </c>
      <c r="G1253" s="138" t="s">
        <v>105</v>
      </c>
      <c r="H1253" s="139">
        <f>H1255</f>
        <v>4.9000000000000004</v>
      </c>
      <c r="I1253" s="90"/>
      <c r="J1253" s="140">
        <f>ROUND(I1253*H1253,2)</f>
        <v>0</v>
      </c>
      <c r="K1253" s="137"/>
    </row>
    <row r="1254" spans="2:16" s="11" customFormat="1">
      <c r="B1254" s="141"/>
      <c r="D1254" s="142" t="s">
        <v>95</v>
      </c>
      <c r="E1254" s="143" t="s">
        <v>2</v>
      </c>
      <c r="F1254" s="144" t="s">
        <v>2572</v>
      </c>
      <c r="H1254" s="145">
        <f>(2.3+2.955+2.245+2.3)*0.5</f>
        <v>4.9000000000000004</v>
      </c>
      <c r="O1254" s="1"/>
    </row>
    <row r="1255" spans="2:16" s="12" customFormat="1">
      <c r="B1255" s="146"/>
      <c r="D1255" s="142" t="s">
        <v>95</v>
      </c>
      <c r="E1255" s="147" t="s">
        <v>2</v>
      </c>
      <c r="F1255" s="148" t="s">
        <v>96</v>
      </c>
      <c r="H1255" s="149">
        <f>SUM(H1254:H1254)</f>
        <v>4.9000000000000004</v>
      </c>
      <c r="O1255" s="1"/>
    </row>
    <row r="1256" spans="2:16" s="1" customFormat="1" ht="22.5" customHeight="1">
      <c r="B1256" s="39"/>
      <c r="C1256" s="135">
        <f>C1253+1</f>
        <v>320</v>
      </c>
      <c r="D1256" s="135" t="s">
        <v>65</v>
      </c>
      <c r="E1256" s="136" t="s">
        <v>281</v>
      </c>
      <c r="F1256" s="137" t="s">
        <v>1401</v>
      </c>
      <c r="G1256" s="138" t="s">
        <v>105</v>
      </c>
      <c r="H1256" s="139">
        <f>H1258</f>
        <v>4.9000000000000004</v>
      </c>
      <c r="I1256" s="90"/>
      <c r="J1256" s="140">
        <f>ROUND(I1256*H1256,2)</f>
        <v>0</v>
      </c>
      <c r="K1256" s="137"/>
    </row>
    <row r="1257" spans="2:16" s="11" customFormat="1">
      <c r="B1257" s="141"/>
      <c r="D1257" s="142" t="s">
        <v>95</v>
      </c>
      <c r="E1257" s="143" t="s">
        <v>2</v>
      </c>
      <c r="F1257" s="144" t="s">
        <v>2572</v>
      </c>
      <c r="H1257" s="145">
        <f>(2.3+2.955+2.245+2.3)*0.5</f>
        <v>4.9000000000000004</v>
      </c>
      <c r="O1257" s="1"/>
    </row>
    <row r="1258" spans="2:16" s="12" customFormat="1">
      <c r="B1258" s="146"/>
      <c r="D1258" s="142" t="s">
        <v>95</v>
      </c>
      <c r="E1258" s="147" t="s">
        <v>2</v>
      </c>
      <c r="F1258" s="148" t="s">
        <v>96</v>
      </c>
      <c r="H1258" s="149">
        <f>SUM(H1257:H1257)</f>
        <v>4.9000000000000004</v>
      </c>
      <c r="O1258" s="1"/>
    </row>
    <row r="1259" spans="2:16" s="1" customFormat="1" ht="22.5" customHeight="1">
      <c r="B1259" s="39"/>
      <c r="C1259" s="135">
        <f>C1256+1</f>
        <v>321</v>
      </c>
      <c r="D1259" s="135" t="s">
        <v>65</v>
      </c>
      <c r="E1259" s="136" t="s">
        <v>1402</v>
      </c>
      <c r="F1259" s="137" t="s">
        <v>1403</v>
      </c>
      <c r="G1259" s="138" t="s">
        <v>261</v>
      </c>
      <c r="H1259" s="139">
        <f>SUM(J1247:J1258)</f>
        <v>0</v>
      </c>
      <c r="I1259" s="90"/>
      <c r="J1259" s="140">
        <f>ROUND(I1259%*H1259,2)</f>
        <v>0</v>
      </c>
      <c r="K1259" s="137"/>
    </row>
    <row r="1260" spans="2:16" s="10" customFormat="1" ht="29.45" customHeight="1">
      <c r="B1260" s="128"/>
      <c r="D1260" s="129" t="s">
        <v>39</v>
      </c>
      <c r="E1260" s="133" t="s">
        <v>283</v>
      </c>
      <c r="F1260" s="133" t="s">
        <v>284</v>
      </c>
      <c r="J1260" s="134">
        <f>SUM(J1261:J1315)</f>
        <v>0</v>
      </c>
      <c r="O1260"/>
    </row>
    <row r="1261" spans="2:16" s="12" customFormat="1" ht="28.9" customHeight="1">
      <c r="B1261" s="146"/>
      <c r="C1261" s="135">
        <f>C1259+1</f>
        <v>322</v>
      </c>
      <c r="D1261" s="304" t="s">
        <v>65</v>
      </c>
      <c r="E1261" s="136" t="s">
        <v>1406</v>
      </c>
      <c r="F1261" s="137" t="s">
        <v>1407</v>
      </c>
      <c r="G1261" s="138" t="s">
        <v>105</v>
      </c>
      <c r="H1261" s="139">
        <f>H1283</f>
        <v>60.7757024</v>
      </c>
      <c r="I1261" s="90"/>
      <c r="J1261" s="140">
        <f>ROUND(I1261*H1261,2)</f>
        <v>0</v>
      </c>
      <c r="K1261" s="137"/>
      <c r="O1261" s="1"/>
      <c r="P1261" s="344"/>
    </row>
    <row r="1262" spans="2:16" s="11" customFormat="1">
      <c r="B1262" s="141"/>
      <c r="D1262" s="142" t="s">
        <v>95</v>
      </c>
      <c r="E1262" s="143" t="s">
        <v>2</v>
      </c>
      <c r="F1262" s="144" t="s">
        <v>1408</v>
      </c>
      <c r="H1262" s="145">
        <f>(0.074*4+0.16*2)*1.74*3</f>
        <v>3.2155199999999997</v>
      </c>
      <c r="O1262" s="1"/>
    </row>
    <row r="1263" spans="2:16" s="11" customFormat="1">
      <c r="B1263" s="141"/>
      <c r="D1263" s="142" t="s">
        <v>95</v>
      </c>
      <c r="E1263" s="143" t="s">
        <v>2</v>
      </c>
      <c r="F1263" s="144" t="s">
        <v>2578</v>
      </c>
      <c r="H1263" s="145">
        <f>(0.074*4+0.16*2)*2.4*2</f>
        <v>2.9567999999999999</v>
      </c>
      <c r="O1263" s="1"/>
    </row>
    <row r="1264" spans="2:16" s="11" customFormat="1">
      <c r="B1264" s="141"/>
      <c r="D1264" s="142" t="s">
        <v>95</v>
      </c>
      <c r="E1264" s="143" t="s">
        <v>2</v>
      </c>
      <c r="F1264" s="144" t="s">
        <v>1409</v>
      </c>
      <c r="H1264" s="145">
        <f>(0.074*4+0.16*2)*1.54*2</f>
        <v>1.8972800000000001</v>
      </c>
      <c r="O1264" s="1"/>
    </row>
    <row r="1265" spans="2:15" s="11" customFormat="1">
      <c r="B1265" s="141"/>
      <c r="D1265" s="142" t="s">
        <v>95</v>
      </c>
      <c r="E1265" s="143" t="s">
        <v>2</v>
      </c>
      <c r="F1265" s="144" t="s">
        <v>1410</v>
      </c>
      <c r="H1265" s="145">
        <f>(0.074*4+0.16*2)*1.54*3</f>
        <v>2.84592</v>
      </c>
      <c r="O1265" s="1"/>
    </row>
    <row r="1266" spans="2:15" s="11" customFormat="1">
      <c r="B1266" s="141"/>
      <c r="D1266" s="142" t="s">
        <v>95</v>
      </c>
      <c r="E1266" s="143" t="s">
        <v>2</v>
      </c>
      <c r="F1266" s="144" t="s">
        <v>1411</v>
      </c>
      <c r="H1266" s="145">
        <f>(0.074*4+0.16*2)*1.54*3</f>
        <v>2.84592</v>
      </c>
      <c r="O1266" s="1"/>
    </row>
    <row r="1267" spans="2:15" s="11" customFormat="1" ht="27">
      <c r="B1267" s="141"/>
      <c r="D1267" s="142" t="s">
        <v>95</v>
      </c>
      <c r="E1267" s="143" t="s">
        <v>2</v>
      </c>
      <c r="F1267" s="144" t="s">
        <v>2574</v>
      </c>
      <c r="H1267" s="145">
        <f>((0.074*4+0.16*2)*(1.54+0.35))*3</f>
        <v>3.4927200000000003</v>
      </c>
      <c r="O1267" s="1"/>
    </row>
    <row r="1268" spans="2:15" s="11" customFormat="1" ht="24" customHeight="1">
      <c r="B1268" s="141"/>
      <c r="D1268" s="142" t="s">
        <v>95</v>
      </c>
      <c r="E1268" s="143" t="s">
        <v>2</v>
      </c>
      <c r="F1268" s="144" t="s">
        <v>2577</v>
      </c>
      <c r="H1268" s="145">
        <f>(0.066*4+0.14*2)*1.1*3</f>
        <v>1.7952000000000001</v>
      </c>
      <c r="O1268" s="1"/>
    </row>
    <row r="1269" spans="2:15" s="11" customFormat="1" ht="24" customHeight="1">
      <c r="B1269" s="141"/>
      <c r="D1269" s="142" t="s">
        <v>95</v>
      </c>
      <c r="E1269" s="143" t="s">
        <v>2</v>
      </c>
      <c r="F1269" s="144" t="s">
        <v>1412</v>
      </c>
      <c r="H1269" s="145">
        <f>(0.066*4+0.14*2)*1*3</f>
        <v>1.6320000000000001</v>
      </c>
      <c r="O1269" s="1"/>
    </row>
    <row r="1270" spans="2:15" s="11" customFormat="1">
      <c r="B1270" s="141"/>
      <c r="D1270" s="142" t="s">
        <v>95</v>
      </c>
      <c r="E1270" s="143" t="s">
        <v>2</v>
      </c>
      <c r="F1270" s="144" t="s">
        <v>1413</v>
      </c>
      <c r="H1270" s="145">
        <f>(0.066*4+0.14*2)*1*3</f>
        <v>1.6320000000000001</v>
      </c>
      <c r="O1270" s="1"/>
    </row>
    <row r="1271" spans="2:15" s="1" customFormat="1" ht="27">
      <c r="B1271" s="39"/>
      <c r="C1271" s="11"/>
      <c r="D1271" s="142" t="s">
        <v>95</v>
      </c>
      <c r="E1271" s="143" t="s">
        <v>2</v>
      </c>
      <c r="F1271" s="144" t="s">
        <v>1414</v>
      </c>
      <c r="G1271" s="11"/>
      <c r="H1271" s="145">
        <f>(0.08*4)*1.2*(2+1+1)</f>
        <v>1.536</v>
      </c>
      <c r="I1271" s="11"/>
      <c r="J1271" s="11"/>
      <c r="K1271" s="11"/>
    </row>
    <row r="1272" spans="2:15" s="11" customFormat="1" ht="24" customHeight="1">
      <c r="B1272" s="141"/>
      <c r="D1272" s="142" t="s">
        <v>95</v>
      </c>
      <c r="E1272" s="143" t="s">
        <v>2</v>
      </c>
      <c r="F1272" s="144" t="s">
        <v>2575</v>
      </c>
      <c r="H1272" s="145">
        <f>((0.05+0.005)*2)*(1.74/0.3*0.002)*0.6*2</f>
        <v>1.5311999999999999E-3</v>
      </c>
      <c r="O1272" s="1"/>
    </row>
    <row r="1273" spans="2:15" s="11" customFormat="1" ht="24" customHeight="1">
      <c r="B1273" s="141"/>
      <c r="D1273" s="142" t="s">
        <v>95</v>
      </c>
      <c r="E1273" s="143" t="s">
        <v>2</v>
      </c>
      <c r="F1273" s="144" t="s">
        <v>1415</v>
      </c>
      <c r="H1273" s="145">
        <f>((0.05+0.005)*2)*(1.54/0.3*0.002)*0.3*2</f>
        <v>6.7759999999999999E-4</v>
      </c>
      <c r="O1273" s="1"/>
    </row>
    <row r="1274" spans="2:15" s="11" customFormat="1" ht="24" customHeight="1">
      <c r="B1274" s="141"/>
      <c r="D1274" s="142" t="s">
        <v>95</v>
      </c>
      <c r="E1274" s="143" t="s">
        <v>2</v>
      </c>
      <c r="F1274" s="144" t="s">
        <v>1416</v>
      </c>
      <c r="H1274" s="145">
        <f>((0.05+0.005)*2)*(1.54/0.3*0.002)*0.6*2</f>
        <v>1.3552E-3</v>
      </c>
      <c r="O1274" s="1"/>
    </row>
    <row r="1275" spans="2:15" s="11" customFormat="1" ht="24" customHeight="1">
      <c r="B1275" s="141"/>
      <c r="D1275" s="142" t="s">
        <v>95</v>
      </c>
      <c r="E1275" s="143" t="s">
        <v>2</v>
      </c>
      <c r="F1275" s="144" t="s">
        <v>1417</v>
      </c>
      <c r="H1275" s="145">
        <f>((0.05+0.005)*2)*(1.54/0.3*0.002)*0.6*2</f>
        <v>1.3552E-3</v>
      </c>
      <c r="O1275" s="1"/>
    </row>
    <row r="1276" spans="2:15" s="11" customFormat="1" ht="24" customHeight="1">
      <c r="B1276" s="141"/>
      <c r="D1276" s="142" t="s">
        <v>95</v>
      </c>
      <c r="E1276" s="143" t="s">
        <v>2</v>
      </c>
      <c r="F1276" s="144" t="s">
        <v>2576</v>
      </c>
      <c r="H1276" s="145">
        <f>((0.05+0.005)*2)*((1.54+0.35)/0.3*0.002)*0.6*2</f>
        <v>1.6632000000000003E-3</v>
      </c>
      <c r="O1276" s="1"/>
    </row>
    <row r="1277" spans="2:15" s="11" customFormat="1" ht="24" customHeight="1">
      <c r="B1277" s="141"/>
      <c r="D1277" s="142" t="s">
        <v>95</v>
      </c>
      <c r="E1277" s="143" t="s">
        <v>2</v>
      </c>
      <c r="F1277" s="144" t="s">
        <v>1418</v>
      </c>
      <c r="H1277" s="145">
        <f>((0.05+0.005)*2)*(1/0.3*0.002)*0.6*2</f>
        <v>8.7999999999999992E-4</v>
      </c>
      <c r="O1277" s="1"/>
    </row>
    <row r="1278" spans="2:15" s="11" customFormat="1" ht="24" customHeight="1">
      <c r="B1278" s="141"/>
      <c r="D1278" s="142" t="s">
        <v>95</v>
      </c>
      <c r="E1278" s="143" t="s">
        <v>2</v>
      </c>
      <c r="F1278" s="144" t="s">
        <v>1419</v>
      </c>
      <c r="H1278" s="145">
        <f>((0.05+0.005)*2)*(1/0.3*0.002)*0.6*2</f>
        <v>8.7999999999999992E-4</v>
      </c>
      <c r="O1278" s="1"/>
    </row>
    <row r="1279" spans="2:15" s="11" customFormat="1">
      <c r="B1279" s="141"/>
      <c r="D1279" s="142" t="s">
        <v>95</v>
      </c>
      <c r="E1279" s="143" t="s">
        <v>2</v>
      </c>
      <c r="F1279" s="144" t="s">
        <v>1420</v>
      </c>
      <c r="H1279" s="145">
        <f>((0.065*4+0.16*2)*12.55)*2</f>
        <v>14.558000000000003</v>
      </c>
      <c r="O1279" s="1"/>
    </row>
    <row r="1280" spans="2:15" s="11" customFormat="1">
      <c r="B1280" s="141"/>
      <c r="D1280" s="142" t="s">
        <v>95</v>
      </c>
      <c r="E1280" s="143" t="s">
        <v>2</v>
      </c>
      <c r="F1280" s="144" t="s">
        <v>1421</v>
      </c>
      <c r="H1280" s="145">
        <f>((0.065*4+0.16*2)*2)*6</f>
        <v>6.9600000000000009</v>
      </c>
      <c r="O1280" s="1"/>
    </row>
    <row r="1281" spans="2:15" s="11" customFormat="1">
      <c r="B1281" s="141"/>
      <c r="D1281" s="142" t="s">
        <v>95</v>
      </c>
      <c r="E1281" s="143" t="s">
        <v>2</v>
      </c>
      <c r="F1281" s="144" t="s">
        <v>1422</v>
      </c>
      <c r="H1281" s="145">
        <f>(0.2+0.3+0.2)*(1.14+2.18*2)*1</f>
        <v>3.8499999999999996</v>
      </c>
      <c r="O1281" s="1"/>
    </row>
    <row r="1282" spans="2:15" s="11" customFormat="1">
      <c r="B1282" s="141"/>
      <c r="D1282" s="142" t="s">
        <v>95</v>
      </c>
      <c r="E1282" s="143" t="s">
        <v>2</v>
      </c>
      <c r="F1282" s="144" t="s">
        <v>1423</v>
      </c>
      <c r="H1282" s="145">
        <f>(0.2+0.3+0.2)*(1.14+2.18*2)*3</f>
        <v>11.549999999999999</v>
      </c>
      <c r="O1282" s="1"/>
    </row>
    <row r="1283" spans="2:15" s="12" customFormat="1">
      <c r="B1283" s="146"/>
      <c r="D1283" s="142" t="s">
        <v>95</v>
      </c>
      <c r="E1283" s="147" t="s">
        <v>2</v>
      </c>
      <c r="F1283" s="148" t="s">
        <v>96</v>
      </c>
      <c r="H1283" s="149">
        <f>SUM(H1262:H1282)</f>
        <v>60.7757024</v>
      </c>
      <c r="O1283" s="1"/>
    </row>
    <row r="1284" spans="2:15" s="1" customFormat="1" ht="15.6" customHeight="1">
      <c r="B1284" s="39"/>
      <c r="C1284" s="135">
        <f>C1261+1</f>
        <v>323</v>
      </c>
      <c r="D1284" s="135" t="s">
        <v>65</v>
      </c>
      <c r="E1284" s="136" t="s">
        <v>287</v>
      </c>
      <c r="F1284" s="137" t="s">
        <v>288</v>
      </c>
      <c r="G1284" s="138" t="s">
        <v>105</v>
      </c>
      <c r="H1284" s="139">
        <f>H1291</f>
        <v>139.02324999999996</v>
      </c>
      <c r="I1284" s="90"/>
      <c r="J1284" s="140">
        <f>ROUND(I1284*H1284,2)</f>
        <v>0</v>
      </c>
      <c r="K1284" s="137"/>
    </row>
    <row r="1285" spans="2:15" s="11" customFormat="1" ht="27">
      <c r="B1285" s="141"/>
      <c r="D1285" s="142" t="s">
        <v>95</v>
      </c>
      <c r="E1285" s="143" t="s">
        <v>2</v>
      </c>
      <c r="F1285" s="144" t="s">
        <v>2469</v>
      </c>
      <c r="H1285" s="145">
        <f>(2.3+2.955)*(11+0.5)+(2.3)*(11+0.5-3.5)+(2.245+2.3)*(3.5)</f>
        <v>94.74</v>
      </c>
      <c r="O1285" s="1"/>
    </row>
    <row r="1286" spans="2:15" s="11" customFormat="1" ht="27">
      <c r="B1286" s="141"/>
      <c r="D1286" s="142" t="s">
        <v>95</v>
      </c>
      <c r="E1286" s="143" t="s">
        <v>2</v>
      </c>
      <c r="F1286" s="144" t="s">
        <v>2465</v>
      </c>
      <c r="H1286" s="145">
        <f>((2.18+1.14+2.18)+(3.065+1.99+3.035)+(1.1+2+1.1+2))*(0.325)</f>
        <v>6.4317500000000001</v>
      </c>
      <c r="O1286" s="1"/>
    </row>
    <row r="1287" spans="2:15" s="11" customFormat="1">
      <c r="B1287" s="141"/>
      <c r="D1287" s="142" t="s">
        <v>95</v>
      </c>
      <c r="E1287" s="143" t="s">
        <v>2</v>
      </c>
      <c r="F1287" s="144" t="s">
        <v>2466</v>
      </c>
      <c r="H1287" s="145">
        <f>(1.5)*(11+0.5+11+0.5)</f>
        <v>34.5</v>
      </c>
      <c r="O1287" s="1"/>
    </row>
    <row r="1288" spans="2:15" s="11" customFormat="1" ht="27">
      <c r="B1288" s="141"/>
      <c r="D1288" s="142" t="s">
        <v>95</v>
      </c>
      <c r="E1288" s="143"/>
      <c r="F1288" s="144" t="s">
        <v>1004</v>
      </c>
      <c r="H1288" s="145">
        <f>(0.7+1.4+0.7+1.4)*(0.3+0.5)*2</f>
        <v>6.7199999999999989</v>
      </c>
      <c r="O1288" s="1"/>
    </row>
    <row r="1289" spans="2:15" s="11" customFormat="1">
      <c r="B1289" s="141"/>
      <c r="D1289" s="142" t="s">
        <v>95</v>
      </c>
      <c r="E1289" s="143" t="s">
        <v>2</v>
      </c>
      <c r="F1289" s="144" t="s">
        <v>2471</v>
      </c>
      <c r="H1289" s="145">
        <f>((2.3+2.955)*(0.5))*(-1)</f>
        <v>-2.6274999999999999</v>
      </c>
      <c r="O1289" s="1"/>
    </row>
    <row r="1290" spans="2:15" s="11" customFormat="1">
      <c r="B1290" s="141"/>
      <c r="D1290" s="142" t="s">
        <v>95</v>
      </c>
      <c r="E1290" s="143" t="s">
        <v>2</v>
      </c>
      <c r="F1290" s="144" t="s">
        <v>2467</v>
      </c>
      <c r="H1290" s="145">
        <f>((1.14)*(0.325)*2)*(-1)</f>
        <v>-0.74099999999999999</v>
      </c>
      <c r="O1290" s="1"/>
    </row>
    <row r="1291" spans="2:15" s="12" customFormat="1">
      <c r="B1291" s="146"/>
      <c r="D1291" s="142" t="s">
        <v>95</v>
      </c>
      <c r="E1291" s="147" t="s">
        <v>2</v>
      </c>
      <c r="F1291" s="148" t="s">
        <v>96</v>
      </c>
      <c r="H1291" s="149">
        <f>SUM(H1285:H1290)</f>
        <v>139.02324999999996</v>
      </c>
      <c r="O1291" s="1"/>
    </row>
    <row r="1292" spans="2:15" s="1" customFormat="1" ht="22.5" customHeight="1">
      <c r="B1292" s="39"/>
      <c r="C1292" s="135">
        <f>C1284+1</f>
        <v>324</v>
      </c>
      <c r="D1292" s="135" t="s">
        <v>65</v>
      </c>
      <c r="E1292" s="136" t="s">
        <v>289</v>
      </c>
      <c r="F1292" s="137" t="s">
        <v>290</v>
      </c>
      <c r="G1292" s="138" t="s">
        <v>105</v>
      </c>
      <c r="H1292" s="139">
        <f>H1299</f>
        <v>139.02324999999996</v>
      </c>
      <c r="I1292" s="90"/>
      <c r="J1292" s="140">
        <f>ROUND(I1292*H1292,2)</f>
        <v>0</v>
      </c>
      <c r="K1292" s="137"/>
    </row>
    <row r="1293" spans="2:15" s="11" customFormat="1" ht="27">
      <c r="B1293" s="141"/>
      <c r="D1293" s="142" t="s">
        <v>95</v>
      </c>
      <c r="E1293" s="143" t="s">
        <v>2</v>
      </c>
      <c r="F1293" s="144" t="s">
        <v>2469</v>
      </c>
      <c r="H1293" s="145">
        <f>(2.3+2.955)*(11+0.5)+(2.3)*(11+0.5-3.5)+(2.245+2.3)*(3.5)</f>
        <v>94.74</v>
      </c>
      <c r="O1293" s="1"/>
    </row>
    <row r="1294" spans="2:15" s="11" customFormat="1" ht="27">
      <c r="B1294" s="141"/>
      <c r="D1294" s="142" t="s">
        <v>95</v>
      </c>
      <c r="E1294" s="143" t="s">
        <v>2</v>
      </c>
      <c r="F1294" s="144" t="s">
        <v>2465</v>
      </c>
      <c r="H1294" s="145">
        <f>((2.18+1.14+2.18)+(3.065+1.99+3.035)+(1.1+2+1.1+2))*(0.325)</f>
        <v>6.4317500000000001</v>
      </c>
      <c r="O1294" s="1"/>
    </row>
    <row r="1295" spans="2:15" s="11" customFormat="1">
      <c r="B1295" s="141"/>
      <c r="D1295" s="142" t="s">
        <v>95</v>
      </c>
      <c r="E1295" s="143" t="s">
        <v>2</v>
      </c>
      <c r="F1295" s="144" t="s">
        <v>2466</v>
      </c>
      <c r="H1295" s="145">
        <f>(1.5)*(11+0.5+11+0.5)</f>
        <v>34.5</v>
      </c>
      <c r="O1295" s="1"/>
    </row>
    <row r="1296" spans="2:15" s="11" customFormat="1" ht="27">
      <c r="B1296" s="141"/>
      <c r="D1296" s="142" t="s">
        <v>95</v>
      </c>
      <c r="E1296" s="143"/>
      <c r="F1296" s="144" t="s">
        <v>1004</v>
      </c>
      <c r="H1296" s="145">
        <f>(0.7+1.4+0.7+1.4)*(0.3+0.5)*2</f>
        <v>6.7199999999999989</v>
      </c>
      <c r="O1296" s="1"/>
    </row>
    <row r="1297" spans="2:15" s="11" customFormat="1">
      <c r="B1297" s="141"/>
      <c r="D1297" s="142" t="s">
        <v>95</v>
      </c>
      <c r="E1297" s="143" t="s">
        <v>2</v>
      </c>
      <c r="F1297" s="144" t="s">
        <v>2471</v>
      </c>
      <c r="H1297" s="145">
        <f>((2.3+2.955)*(0.5))*(-1)</f>
        <v>-2.6274999999999999</v>
      </c>
      <c r="O1297" s="1"/>
    </row>
    <row r="1298" spans="2:15" s="11" customFormat="1">
      <c r="B1298" s="141"/>
      <c r="D1298" s="142" t="s">
        <v>95</v>
      </c>
      <c r="E1298" s="143" t="s">
        <v>2</v>
      </c>
      <c r="F1298" s="144" t="s">
        <v>2467</v>
      </c>
      <c r="H1298" s="145">
        <f>((1.14)*(0.325)*2)*(-1)</f>
        <v>-0.74099999999999999</v>
      </c>
      <c r="O1298" s="1"/>
    </row>
    <row r="1299" spans="2:15" s="12" customFormat="1">
      <c r="B1299" s="146"/>
      <c r="D1299" s="142" t="s">
        <v>95</v>
      </c>
      <c r="E1299" s="147" t="s">
        <v>2</v>
      </c>
      <c r="F1299" s="148" t="s">
        <v>96</v>
      </c>
      <c r="H1299" s="149">
        <f>SUM(H1293:H1298)</f>
        <v>139.02324999999996</v>
      </c>
      <c r="O1299" s="1"/>
    </row>
    <row r="1300" spans="2:15" s="1" customFormat="1" ht="21.6" customHeight="1">
      <c r="B1300" s="39"/>
      <c r="C1300" s="135">
        <f>C1292+1</f>
        <v>325</v>
      </c>
      <c r="D1300" s="135" t="s">
        <v>65</v>
      </c>
      <c r="E1300" s="136" t="s">
        <v>291</v>
      </c>
      <c r="F1300" s="137" t="s">
        <v>292</v>
      </c>
      <c r="G1300" s="138" t="s">
        <v>105</v>
      </c>
      <c r="H1300" s="139">
        <f>H1307</f>
        <v>139.02324999999996</v>
      </c>
      <c r="I1300" s="90"/>
      <c r="J1300" s="140">
        <f>ROUND(I1300*H1300,2)</f>
        <v>0</v>
      </c>
      <c r="K1300" s="137"/>
    </row>
    <row r="1301" spans="2:15" s="11" customFormat="1" ht="27">
      <c r="B1301" s="141"/>
      <c r="D1301" s="142" t="s">
        <v>95</v>
      </c>
      <c r="E1301" s="143" t="s">
        <v>2</v>
      </c>
      <c r="F1301" s="144" t="s">
        <v>2469</v>
      </c>
      <c r="H1301" s="145">
        <f>(2.3+2.955)*(11+0.5)+(2.3)*(11+0.5-3.5)+(2.245+2.3)*(3.5)</f>
        <v>94.74</v>
      </c>
      <c r="O1301" s="1"/>
    </row>
    <row r="1302" spans="2:15" s="11" customFormat="1" ht="27">
      <c r="B1302" s="141"/>
      <c r="D1302" s="142" t="s">
        <v>95</v>
      </c>
      <c r="E1302" s="143" t="s">
        <v>2</v>
      </c>
      <c r="F1302" s="144" t="s">
        <v>2465</v>
      </c>
      <c r="H1302" s="145">
        <f>((2.18+1.14+2.18)+(3.065+1.99+3.035)+(1.1+2+1.1+2))*(0.325)</f>
        <v>6.4317500000000001</v>
      </c>
      <c r="O1302" s="1"/>
    </row>
    <row r="1303" spans="2:15" s="11" customFormat="1">
      <c r="B1303" s="141"/>
      <c r="D1303" s="142" t="s">
        <v>95</v>
      </c>
      <c r="E1303" s="143" t="s">
        <v>2</v>
      </c>
      <c r="F1303" s="144" t="s">
        <v>2466</v>
      </c>
      <c r="H1303" s="145">
        <f>(1.5)*(11+0.5+11+0.5)</f>
        <v>34.5</v>
      </c>
      <c r="O1303" s="1"/>
    </row>
    <row r="1304" spans="2:15" s="11" customFormat="1" ht="27">
      <c r="B1304" s="141"/>
      <c r="D1304" s="142" t="s">
        <v>95</v>
      </c>
      <c r="E1304" s="143"/>
      <c r="F1304" s="144" t="s">
        <v>1004</v>
      </c>
      <c r="H1304" s="145">
        <f>(0.7+1.4+0.7+1.4)*(0.3+0.5)*2</f>
        <v>6.7199999999999989</v>
      </c>
      <c r="O1304" s="1"/>
    </row>
    <row r="1305" spans="2:15" s="11" customFormat="1">
      <c r="B1305" s="141"/>
      <c r="D1305" s="142" t="s">
        <v>95</v>
      </c>
      <c r="E1305" s="143" t="s">
        <v>2</v>
      </c>
      <c r="F1305" s="144" t="s">
        <v>2471</v>
      </c>
      <c r="H1305" s="145">
        <f>((2.3+2.955)*(0.5))*(-1)</f>
        <v>-2.6274999999999999</v>
      </c>
      <c r="O1305" s="1"/>
    </row>
    <row r="1306" spans="2:15" s="11" customFormat="1">
      <c r="B1306" s="141"/>
      <c r="D1306" s="142" t="s">
        <v>95</v>
      </c>
      <c r="E1306" s="143" t="s">
        <v>2</v>
      </c>
      <c r="F1306" s="144" t="s">
        <v>2467</v>
      </c>
      <c r="H1306" s="145">
        <f>((1.14)*(0.325)*2)*(-1)</f>
        <v>-0.74099999999999999</v>
      </c>
      <c r="O1306" s="1"/>
    </row>
    <row r="1307" spans="2:15" s="12" customFormat="1">
      <c r="B1307" s="146"/>
      <c r="D1307" s="142" t="s">
        <v>95</v>
      </c>
      <c r="E1307" s="147" t="s">
        <v>2</v>
      </c>
      <c r="F1307" s="148" t="s">
        <v>96</v>
      </c>
      <c r="H1307" s="149">
        <f>SUM(H1301:H1306)</f>
        <v>139.02324999999996</v>
      </c>
      <c r="O1307" s="1"/>
    </row>
    <row r="1308" spans="2:15" s="1" customFormat="1" ht="21.6" customHeight="1">
      <c r="B1308" s="39"/>
      <c r="C1308" s="135">
        <f>C1300+1</f>
        <v>326</v>
      </c>
      <c r="D1308" s="135" t="s">
        <v>65</v>
      </c>
      <c r="E1308" s="136" t="s">
        <v>293</v>
      </c>
      <c r="F1308" s="137" t="s">
        <v>559</v>
      </c>
      <c r="G1308" s="138" t="s">
        <v>105</v>
      </c>
      <c r="H1308" s="139">
        <f>H1315</f>
        <v>139.02324999999996</v>
      </c>
      <c r="I1308" s="90"/>
      <c r="J1308" s="140">
        <f>ROUND(I1308*H1308,2)</f>
        <v>0</v>
      </c>
      <c r="K1308" s="137"/>
    </row>
    <row r="1309" spans="2:15" s="11" customFormat="1" ht="27">
      <c r="B1309" s="141"/>
      <c r="D1309" s="142" t="s">
        <v>95</v>
      </c>
      <c r="E1309" s="143" t="s">
        <v>2</v>
      </c>
      <c r="F1309" s="144" t="s">
        <v>2469</v>
      </c>
      <c r="H1309" s="145">
        <f>(2.3+2.955)*(11+0.5)+(2.3)*(11+0.5-3.5)+(2.245+2.3)*(3.5)</f>
        <v>94.74</v>
      </c>
      <c r="O1309" s="1"/>
    </row>
    <row r="1310" spans="2:15" s="11" customFormat="1" ht="27">
      <c r="B1310" s="141"/>
      <c r="D1310" s="142" t="s">
        <v>95</v>
      </c>
      <c r="E1310" s="143" t="s">
        <v>2</v>
      </c>
      <c r="F1310" s="144" t="s">
        <v>2465</v>
      </c>
      <c r="H1310" s="145">
        <f>((2.18+1.14+2.18)+(3.065+1.99+3.035)+(1.1+2+1.1+2))*(0.325)</f>
        <v>6.4317500000000001</v>
      </c>
      <c r="O1310" s="1"/>
    </row>
    <row r="1311" spans="2:15" s="11" customFormat="1">
      <c r="B1311" s="141"/>
      <c r="D1311" s="142" t="s">
        <v>95</v>
      </c>
      <c r="E1311" s="143" t="s">
        <v>2</v>
      </c>
      <c r="F1311" s="144" t="s">
        <v>2466</v>
      </c>
      <c r="H1311" s="145">
        <f>(1.5)*(11+0.5+11+0.5)</f>
        <v>34.5</v>
      </c>
      <c r="O1311" s="1"/>
    </row>
    <row r="1312" spans="2:15" s="11" customFormat="1" ht="27">
      <c r="B1312" s="141"/>
      <c r="D1312" s="142" t="s">
        <v>95</v>
      </c>
      <c r="E1312" s="143"/>
      <c r="F1312" s="144" t="s">
        <v>1004</v>
      </c>
      <c r="H1312" s="145">
        <f>(0.7+1.4+0.7+1.4)*(0.3+0.5)*2</f>
        <v>6.7199999999999989</v>
      </c>
      <c r="O1312" s="1"/>
    </row>
    <row r="1313" spans="2:15" s="11" customFormat="1">
      <c r="B1313" s="141"/>
      <c r="D1313" s="142" t="s">
        <v>95</v>
      </c>
      <c r="E1313" s="143" t="s">
        <v>2</v>
      </c>
      <c r="F1313" s="144" t="s">
        <v>2471</v>
      </c>
      <c r="H1313" s="145">
        <f>((2.3+2.955)*(0.5))*(-1)</f>
        <v>-2.6274999999999999</v>
      </c>
      <c r="O1313" s="1"/>
    </row>
    <row r="1314" spans="2:15" s="11" customFormat="1">
      <c r="B1314" s="141"/>
      <c r="D1314" s="142" t="s">
        <v>95</v>
      </c>
      <c r="E1314" s="143" t="s">
        <v>2</v>
      </c>
      <c r="F1314" s="144" t="s">
        <v>2467</v>
      </c>
      <c r="H1314" s="145">
        <f>((1.14)*(0.325)*2)*(-1)</f>
        <v>-0.74099999999999999</v>
      </c>
      <c r="O1314" s="1"/>
    </row>
    <row r="1315" spans="2:15" s="12" customFormat="1">
      <c r="B1315" s="146"/>
      <c r="D1315" s="142" t="s">
        <v>95</v>
      </c>
      <c r="E1315" s="147" t="s">
        <v>2</v>
      </c>
      <c r="F1315" s="148" t="s">
        <v>96</v>
      </c>
      <c r="H1315" s="149">
        <f>SUM(H1309:H1314)</f>
        <v>139.02324999999996</v>
      </c>
      <c r="O1315" s="1"/>
    </row>
    <row r="1316" spans="2:15" s="10" customFormat="1" ht="29.85" customHeight="1">
      <c r="B1316" s="128"/>
      <c r="D1316" s="129" t="s">
        <v>39</v>
      </c>
      <c r="E1316" s="133" t="s">
        <v>294</v>
      </c>
      <c r="F1316" s="133" t="s">
        <v>295</v>
      </c>
      <c r="J1316" s="134">
        <f>SUM(J1317:J1325)</f>
        <v>0</v>
      </c>
      <c r="O1316"/>
    </row>
    <row r="1317" spans="2:15" s="1" customFormat="1" ht="22.5" customHeight="1">
      <c r="B1317" s="39"/>
      <c r="C1317" s="135">
        <f>C1308+1</f>
        <v>327</v>
      </c>
      <c r="D1317" s="135" t="s">
        <v>65</v>
      </c>
      <c r="E1317" s="136" t="s">
        <v>296</v>
      </c>
      <c r="F1317" s="137" t="s">
        <v>2220</v>
      </c>
      <c r="G1317" s="138" t="s">
        <v>105</v>
      </c>
      <c r="H1317" s="139">
        <f>H1324</f>
        <v>148.57364999999999</v>
      </c>
      <c r="I1317" s="90"/>
      <c r="J1317" s="140">
        <f>ROUND(I1317*H1317,2)</f>
        <v>0</v>
      </c>
      <c r="K1317" s="137"/>
    </row>
    <row r="1318" spans="2:15" s="11" customFormat="1" ht="27">
      <c r="B1318" s="141"/>
      <c r="D1318" s="142" t="s">
        <v>95</v>
      </c>
      <c r="E1318" s="143" t="s">
        <v>2</v>
      </c>
      <c r="F1318" s="144" t="s">
        <v>2468</v>
      </c>
      <c r="H1318" s="145">
        <f>(2+2.305+2)*(11+1.75)+(2+1.965+2)*(3.5)</f>
        <v>101.26625</v>
      </c>
      <c r="O1318" s="1"/>
    </row>
    <row r="1319" spans="2:15" s="11" customFormat="1" ht="27">
      <c r="B1319" s="141"/>
      <c r="D1319" s="142" t="s">
        <v>95</v>
      </c>
      <c r="E1319" s="143" t="s">
        <v>2</v>
      </c>
      <c r="F1319" s="144" t="s">
        <v>2458</v>
      </c>
      <c r="H1319" s="145">
        <f>((2.18+1.14+2.18)+(3.065+1.99+3.035)+(1.1+2+1.1+2))*(0.3)</f>
        <v>5.9369999999999994</v>
      </c>
      <c r="O1319" s="1"/>
    </row>
    <row r="1320" spans="2:15" s="11" customFormat="1">
      <c r="B1320" s="141"/>
      <c r="D1320" s="142" t="s">
        <v>95</v>
      </c>
      <c r="E1320" s="143" t="s">
        <v>2</v>
      </c>
      <c r="F1320" s="144" t="s">
        <v>2459</v>
      </c>
      <c r="H1320" s="145">
        <f>(2.255+1.965)*(11+1.75)</f>
        <v>53.805</v>
      </c>
      <c r="O1320" s="1"/>
    </row>
    <row r="1321" spans="2:15" s="11" customFormat="1" ht="27">
      <c r="B1321" s="141"/>
      <c r="D1321" s="142" t="s">
        <v>95</v>
      </c>
      <c r="E1321" s="143" t="s">
        <v>2</v>
      </c>
      <c r="F1321" s="144" t="s">
        <v>2460</v>
      </c>
      <c r="H1321" s="145">
        <f>(2.18+1.14+2.18)*(0.55)*1+(2.18+1.14+2.18)*(0.5)*1+(2.18+1.49+2.18)*(0.5)*1</f>
        <v>8.6999999999999993</v>
      </c>
      <c r="O1321" s="1"/>
    </row>
    <row r="1322" spans="2:15" s="11" customFormat="1" ht="27">
      <c r="B1322" s="141"/>
      <c r="D1322" s="142" t="s">
        <v>95</v>
      </c>
      <c r="E1322" s="143" t="s">
        <v>2</v>
      </c>
      <c r="F1322" s="144" t="s">
        <v>2463</v>
      </c>
      <c r="H1322" s="145">
        <f>((2+2.305+2.2)*1.96+(2+1.965+2)*0.5)*(-1)</f>
        <v>-15.732299999999999</v>
      </c>
      <c r="O1322" s="1"/>
    </row>
    <row r="1323" spans="2:15" s="11" customFormat="1" ht="24" customHeight="1">
      <c r="B1323" s="141"/>
      <c r="D1323" s="142" t="s">
        <v>95</v>
      </c>
      <c r="E1323" s="143" t="s">
        <v>2</v>
      </c>
      <c r="F1323" s="144" t="s">
        <v>2464</v>
      </c>
      <c r="H1323" s="145">
        <f>((2.255)*1.96+(1.965)*0.5)*(-1)</f>
        <v>-5.4022999999999994</v>
      </c>
      <c r="O1323" s="1"/>
    </row>
    <row r="1324" spans="2:15" s="12" customFormat="1">
      <c r="B1324" s="146"/>
      <c r="D1324" s="142" t="s">
        <v>95</v>
      </c>
      <c r="E1324" s="147" t="s">
        <v>2</v>
      </c>
      <c r="F1324" s="148" t="s">
        <v>96</v>
      </c>
      <c r="H1324" s="149">
        <f>SUM(H1318:H1323)</f>
        <v>148.57364999999999</v>
      </c>
      <c r="O1324" s="1"/>
    </row>
    <row r="1325" spans="2:15" s="1" customFormat="1" ht="31.5" customHeight="1">
      <c r="B1325" s="39"/>
      <c r="C1325" s="135">
        <f>C1317+1</f>
        <v>328</v>
      </c>
      <c r="D1325" s="135" t="s">
        <v>65</v>
      </c>
      <c r="E1325" s="136" t="s">
        <v>297</v>
      </c>
      <c r="F1325" s="137" t="s">
        <v>2221</v>
      </c>
      <c r="G1325" s="138" t="s">
        <v>105</v>
      </c>
      <c r="H1325" s="139">
        <f>H1332</f>
        <v>148.57364999999999</v>
      </c>
      <c r="I1325" s="90"/>
      <c r="J1325" s="140">
        <f>ROUND(I1325*H1325,2)</f>
        <v>0</v>
      </c>
      <c r="K1325" s="137"/>
    </row>
    <row r="1326" spans="2:15" s="11" customFormat="1" ht="27">
      <c r="B1326" s="141"/>
      <c r="D1326" s="142" t="s">
        <v>95</v>
      </c>
      <c r="E1326" s="143" t="s">
        <v>2</v>
      </c>
      <c r="F1326" s="144" t="s">
        <v>2468</v>
      </c>
      <c r="H1326" s="145">
        <f>(2+2.305+2)*(11+1.75)+(2+1.965+2)*(3.5)</f>
        <v>101.26625</v>
      </c>
      <c r="O1326" s="1"/>
    </row>
    <row r="1327" spans="2:15" s="11" customFormat="1" ht="27">
      <c r="B1327" s="141"/>
      <c r="D1327" s="142" t="s">
        <v>95</v>
      </c>
      <c r="E1327" s="143" t="s">
        <v>2</v>
      </c>
      <c r="F1327" s="144" t="s">
        <v>2458</v>
      </c>
      <c r="H1327" s="145">
        <f>((2.18+1.14+2.18)+(3.065+1.99+3.035)+(1.1+2+1.1+2))*(0.3)</f>
        <v>5.9369999999999994</v>
      </c>
      <c r="O1327" s="1"/>
    </row>
    <row r="1328" spans="2:15" s="11" customFormat="1">
      <c r="B1328" s="141"/>
      <c r="D1328" s="142" t="s">
        <v>95</v>
      </c>
      <c r="E1328" s="143" t="s">
        <v>2</v>
      </c>
      <c r="F1328" s="144" t="s">
        <v>2459</v>
      </c>
      <c r="H1328" s="145">
        <f>(2.255+1.965)*(11+1.75)</f>
        <v>53.805</v>
      </c>
      <c r="O1328" s="1"/>
    </row>
    <row r="1329" spans="2:15" s="11" customFormat="1" ht="27">
      <c r="B1329" s="141"/>
      <c r="D1329" s="142" t="s">
        <v>95</v>
      </c>
      <c r="E1329" s="143" t="s">
        <v>2</v>
      </c>
      <c r="F1329" s="144" t="s">
        <v>2460</v>
      </c>
      <c r="H1329" s="145">
        <f>(2.18+1.14+2.18)*(0.55)*1+(2.18+1.14+2.18)*(0.5)*1+(2.18+1.49+2.18)*(0.5)*1</f>
        <v>8.6999999999999993</v>
      </c>
      <c r="O1329" s="1"/>
    </row>
    <row r="1330" spans="2:15" s="11" customFormat="1" ht="27">
      <c r="B1330" s="141"/>
      <c r="D1330" s="142" t="s">
        <v>95</v>
      </c>
      <c r="E1330" s="143" t="s">
        <v>2</v>
      </c>
      <c r="F1330" s="144" t="s">
        <v>2463</v>
      </c>
      <c r="H1330" s="145">
        <f>((2+2.305+2.2)*1.96+(2+1.965+2)*0.5)*(-1)</f>
        <v>-15.732299999999999</v>
      </c>
      <c r="O1330" s="1"/>
    </row>
    <row r="1331" spans="2:15" s="11" customFormat="1" ht="24" customHeight="1">
      <c r="B1331" s="141"/>
      <c r="D1331" s="142" t="s">
        <v>95</v>
      </c>
      <c r="E1331" s="143" t="s">
        <v>2</v>
      </c>
      <c r="F1331" s="144" t="s">
        <v>2464</v>
      </c>
      <c r="H1331" s="145">
        <f>((2.255)*1.96+(1.965)*0.5)*(-1)</f>
        <v>-5.4022999999999994</v>
      </c>
      <c r="O1331" s="1"/>
    </row>
    <row r="1332" spans="2:15" s="12" customFormat="1">
      <c r="B1332" s="146"/>
      <c r="D1332" s="142" t="s">
        <v>95</v>
      </c>
      <c r="E1332" s="147" t="s">
        <v>2</v>
      </c>
      <c r="F1332" s="148" t="s">
        <v>96</v>
      </c>
      <c r="H1332" s="149">
        <f>SUM(H1326:H1331)</f>
        <v>148.57364999999999</v>
      </c>
      <c r="O1332" s="1"/>
    </row>
    <row r="1333" spans="2:15" s="10" customFormat="1" ht="29.45" customHeight="1">
      <c r="B1333" s="128"/>
      <c r="D1333" s="129" t="s">
        <v>39</v>
      </c>
      <c r="E1333" s="133" t="s">
        <v>299</v>
      </c>
      <c r="F1333" s="133" t="s">
        <v>300</v>
      </c>
      <c r="I1333" s="23"/>
      <c r="J1333" s="134">
        <f>SUM(J1334:J1336)</f>
        <v>0</v>
      </c>
      <c r="O1333"/>
    </row>
    <row r="1334" spans="2:15" s="1" customFormat="1" ht="27">
      <c r="B1334" s="39"/>
      <c r="C1334" s="135">
        <f>C1325+1</f>
        <v>329</v>
      </c>
      <c r="D1334" s="135" t="s">
        <v>65</v>
      </c>
      <c r="E1334" s="136" t="s">
        <v>301</v>
      </c>
      <c r="F1334" s="137" t="s">
        <v>2246</v>
      </c>
      <c r="G1334" s="138" t="s">
        <v>105</v>
      </c>
      <c r="H1334" s="139">
        <f>H1336</f>
        <v>24.446525000000001</v>
      </c>
      <c r="I1334" s="90"/>
      <c r="J1334" s="140">
        <f>ROUND(I1334*H1334,2)</f>
        <v>0</v>
      </c>
      <c r="K1334" s="137"/>
    </row>
    <row r="1335" spans="2:15" s="11" customFormat="1">
      <c r="B1335" s="141"/>
      <c r="D1335" s="142" t="s">
        <v>95</v>
      </c>
      <c r="E1335" s="143" t="s">
        <v>2</v>
      </c>
      <c r="F1335" s="144" t="s">
        <v>2579</v>
      </c>
      <c r="H1335" s="145">
        <f>((2*2.305)+(1.14*0.35))*4+((1.895*1.995)+(1.8*0.35))*1</f>
        <v>24.446525000000001</v>
      </c>
      <c r="O1335" s="1"/>
    </row>
    <row r="1336" spans="2:15" s="12" customFormat="1">
      <c r="B1336" s="146"/>
      <c r="D1336" s="142" t="s">
        <v>95</v>
      </c>
      <c r="E1336" s="342" t="s">
        <v>2</v>
      </c>
      <c r="F1336" s="343" t="s">
        <v>96</v>
      </c>
      <c r="H1336" s="149">
        <f>SUM(H1335:H1335)</f>
        <v>24.446525000000001</v>
      </c>
      <c r="O1336" s="1"/>
    </row>
    <row r="1337" spans="2:15" s="10" customFormat="1" ht="10.9" customHeight="1">
      <c r="B1337" s="128"/>
      <c r="D1337" s="129"/>
      <c r="E1337" s="130"/>
      <c r="F1337" s="130"/>
      <c r="J1337" s="131"/>
      <c r="O1337"/>
    </row>
    <row r="1338" spans="2:15" s="1" customFormat="1" ht="6.95" customHeight="1">
      <c r="B1338" s="51"/>
      <c r="C1338" s="52"/>
      <c r="D1338" s="52"/>
      <c r="E1338" s="52"/>
      <c r="F1338" s="52"/>
      <c r="G1338" s="52"/>
      <c r="H1338" s="52"/>
      <c r="I1338" s="52"/>
      <c r="J1338" s="52"/>
      <c r="K1338" s="52"/>
    </row>
    <row r="1347" spans="9:11">
      <c r="I1347" s="87" t="s">
        <v>636</v>
      </c>
      <c r="J1347" s="88">
        <f>SUM(J103:J1337)/4</f>
        <v>0</v>
      </c>
      <c r="K1347" s="89"/>
    </row>
    <row r="1348" spans="9:11">
      <c r="I1348" s="87" t="s">
        <v>637</v>
      </c>
      <c r="J1348" s="88">
        <f>SUM(J57:J84)/3</f>
        <v>0</v>
      </c>
      <c r="K1348" s="89"/>
    </row>
    <row r="1349" spans="9:11">
      <c r="I1349" s="87" t="s">
        <v>638</v>
      </c>
      <c r="J1349" s="88">
        <f>J1347-J1348</f>
        <v>0</v>
      </c>
      <c r="K1349" s="87" t="s">
        <v>639</v>
      </c>
    </row>
    <row r="1353" spans="9:11">
      <c r="J1353" s="157"/>
    </row>
    <row r="1354" spans="9:11">
      <c r="J1354" s="158"/>
    </row>
  </sheetData>
  <sheetProtection algorithmName="SHA-512" hashValue="f1QRCsdkqpfNZpqMomOfiRYO+pf/RqwiEA5gfYZIuqSF3Kgz/rkJiwpu7T53mp8NuftREd2pRRwLfMTO0h60RA==" saltValue="bQ56njYmP+IxC5u/WJhq3Q==" spinCount="100000" sheet="1" objects="1" scenarios="1"/>
  <autoFilter ref="C102:K102" xr:uid="{00000000-0009-0000-0000-000002000000}"/>
  <mergeCells count="8">
    <mergeCell ref="E93:H93"/>
    <mergeCell ref="E95:H95"/>
    <mergeCell ref="G1:H1"/>
    <mergeCell ref="E7:H7"/>
    <mergeCell ref="E9:H9"/>
    <mergeCell ref="E25:H25"/>
    <mergeCell ref="E46:H46"/>
    <mergeCell ref="E48:H48"/>
  </mergeCells>
  <hyperlinks>
    <hyperlink ref="F1:G1" location="C2" tooltip="Krycí list soupisu" display="1) Krycí list soupisu" xr:uid="{10998AAB-C767-4041-8857-42A0C2367A03}"/>
    <hyperlink ref="G1:H1" location="C54" tooltip="Rekapitulace" display="2) Rekapitulace" xr:uid="{854AD971-A342-4950-9249-46DFE5EF715D}"/>
    <hyperlink ref="J1" location="C104" tooltip="Soupis prací" display="3) Soupis prací" xr:uid="{440F8D9B-9274-4EB7-AAC6-AEA2D13C90BD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ignoredErrors>
    <ignoredError sqref="H565 H978" formula="1"/>
    <ignoredError sqref="C60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16"/>
  <sheetViews>
    <sheetView showGridLines="0" view="pageBreakPreview" topLeftCell="B1" zoomScaleNormal="100" zoomScaleSheetLayoutView="100" workbookViewId="0">
      <pane ySplit="1" topLeftCell="A178" activePane="bottomLeft" state="frozen"/>
      <selection activeCell="P8" sqref="P8"/>
      <selection pane="bottomLeft" activeCell="I168" sqref="I168"/>
    </sheetView>
  </sheetViews>
  <sheetFormatPr defaultRowHeight="13.5"/>
  <cols>
    <col min="1" max="1" width="8.33203125" hidden="1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6" customWidth="1"/>
    <col min="10" max="10" width="23.5" customWidth="1"/>
    <col min="11" max="11" width="15.5" customWidth="1"/>
    <col min="13" max="26" width="0" hidden="1" customWidth="1"/>
  </cols>
  <sheetData>
    <row r="1" spans="1:13" ht="21.75" hidden="1" customHeight="1">
      <c r="A1" s="15"/>
      <c r="B1" s="19"/>
      <c r="C1" s="19"/>
      <c r="D1" s="20" t="s">
        <v>1</v>
      </c>
      <c r="E1" s="19"/>
      <c r="F1" s="18" t="s">
        <v>308</v>
      </c>
      <c r="G1" s="424" t="s">
        <v>309</v>
      </c>
      <c r="H1" s="424"/>
      <c r="I1" s="19"/>
      <c r="J1" s="18" t="s">
        <v>310</v>
      </c>
      <c r="K1" s="20" t="s">
        <v>45</v>
      </c>
    </row>
    <row r="2" spans="1:13" ht="36.950000000000003" hidden="1" customHeight="1"/>
    <row r="3" spans="1:13" ht="6.95" customHeight="1">
      <c r="B3" s="27"/>
      <c r="C3" s="28"/>
      <c r="D3" s="28"/>
      <c r="E3" s="28"/>
      <c r="F3" s="28"/>
      <c r="G3" s="28"/>
      <c r="H3" s="28"/>
      <c r="I3" s="28"/>
      <c r="J3" s="28"/>
      <c r="K3" s="29"/>
    </row>
    <row r="4" spans="1:13" ht="36.950000000000003" customHeight="1">
      <c r="B4" s="30"/>
      <c r="D4" s="31" t="s">
        <v>46</v>
      </c>
      <c r="K4" s="32"/>
      <c r="M4" s="302"/>
    </row>
    <row r="5" spans="1:13" ht="6.95" customHeight="1">
      <c r="B5" s="30"/>
      <c r="K5" s="32"/>
    </row>
    <row r="6" spans="1:13" ht="15">
      <c r="B6" s="30"/>
      <c r="D6" s="35" t="s">
        <v>5</v>
      </c>
      <c r="K6" s="32"/>
    </row>
    <row r="7" spans="1:13" ht="22.5" customHeight="1">
      <c r="B7" s="30"/>
      <c r="E7" s="423" t="str">
        <f>'Rekapitulace stavby'!K6</f>
        <v>Realizace výtahu a rekonstrukce navazujících prostor interiéru budovy Městského úřadu Smržovka</v>
      </c>
      <c r="F7" s="370"/>
      <c r="G7" s="370"/>
      <c r="H7" s="370"/>
      <c r="K7" s="32"/>
    </row>
    <row r="8" spans="1:13" s="1" customFormat="1" ht="15">
      <c r="B8" s="39"/>
      <c r="D8" s="35" t="s">
        <v>47</v>
      </c>
      <c r="K8" s="42"/>
    </row>
    <row r="9" spans="1:13" s="1" customFormat="1" ht="36.950000000000003" customHeight="1">
      <c r="B9" s="39"/>
      <c r="E9" s="382" t="s">
        <v>812</v>
      </c>
      <c r="F9" s="375"/>
      <c r="G9" s="375"/>
      <c r="H9" s="375"/>
      <c r="K9" s="42"/>
    </row>
    <row r="10" spans="1:13" s="1" customFormat="1">
      <c r="B10" s="39"/>
      <c r="K10" s="42"/>
    </row>
    <row r="11" spans="1:13" s="1" customFormat="1" ht="14.45" customHeight="1">
      <c r="B11" s="39"/>
      <c r="D11" s="35" t="s">
        <v>6</v>
      </c>
      <c r="F11" s="36" t="s">
        <v>7</v>
      </c>
      <c r="I11" s="35" t="s">
        <v>8</v>
      </c>
      <c r="J11" s="36" t="s">
        <v>2</v>
      </c>
      <c r="K11" s="42"/>
    </row>
    <row r="12" spans="1:13" s="1" customFormat="1" ht="14.45" customHeight="1">
      <c r="B12" s="39"/>
      <c r="D12" s="35" t="s">
        <v>10</v>
      </c>
      <c r="F12" s="36" t="str">
        <f>'Rekapitulace stavby'!K8</f>
        <v>č.p. 600, st.p.č. 1/1, k.ú. Smržovka [751324]</v>
      </c>
      <c r="I12" s="35" t="s">
        <v>11</v>
      </c>
      <c r="J12" s="92">
        <f>'Rekapitulace stavby'!AN8</f>
        <v>45743</v>
      </c>
      <c r="K12" s="42"/>
    </row>
    <row r="13" spans="1:13" s="1" customFormat="1" ht="10.9" customHeight="1">
      <c r="B13" s="39"/>
      <c r="K13" s="42"/>
    </row>
    <row r="14" spans="1:13" s="1" customFormat="1" ht="14.45" customHeight="1">
      <c r="B14" s="39"/>
      <c r="D14" s="35" t="s">
        <v>12</v>
      </c>
      <c r="I14" s="35" t="s">
        <v>13</v>
      </c>
      <c r="J14" s="36" t="str">
        <f>'Rekapitulace stavby'!AN10</f>
        <v>002 62 579</v>
      </c>
      <c r="K14" s="42"/>
    </row>
    <row r="15" spans="1:13" s="1" customFormat="1" ht="18" customHeight="1">
      <c r="B15" s="39"/>
      <c r="E15" s="36" t="str">
        <f>'Rekapitulace stavby'!E11</f>
        <v>Město Smržovka, nám. T.G.Masaryka č.p. 600, Smržovka, PSČ 46851</v>
      </c>
      <c r="I15" s="35" t="s">
        <v>14</v>
      </c>
      <c r="J15" s="36" t="str">
        <f>'Rekapitulace stavby'!AN11</f>
        <v>CZ00262579</v>
      </c>
      <c r="K15" s="42"/>
    </row>
    <row r="16" spans="1:13" s="1" customFormat="1" ht="6.95" customHeight="1">
      <c r="B16" s="39"/>
      <c r="K16" s="42"/>
    </row>
    <row r="17" spans="2:11" s="1" customFormat="1" ht="14.45" customHeight="1">
      <c r="B17" s="39"/>
      <c r="D17" s="35" t="s">
        <v>15</v>
      </c>
      <c r="I17" s="35" t="s">
        <v>13</v>
      </c>
      <c r="J17" s="36" t="str">
        <f>IF('Rekapitulace stavby'!AN13="Vyplň údaj","",IF('Rekapitulace stavby'!AN13="","",'Rekapitulace stavby'!AN13))</f>
        <v/>
      </c>
      <c r="K17" s="42"/>
    </row>
    <row r="18" spans="2:11" s="1" customFormat="1" ht="18" customHeight="1">
      <c r="B18" s="39"/>
      <c r="E18" s="36" t="str">
        <f>IF('Rekapitulace stavby'!E14="Vyplň údaj","",IF('Rekapitulace stavby'!E14="","",'Rekapitulace stavby'!E14))</f>
        <v xml:space="preserve"> </v>
      </c>
      <c r="I18" s="35" t="s">
        <v>14</v>
      </c>
      <c r="J18" s="36" t="str">
        <f>IF('Rekapitulace stavby'!AN14="Vyplň údaj","",IF('Rekapitulace stavby'!AN14="","",'Rekapitulace stavby'!AN14))</f>
        <v/>
      </c>
      <c r="K18" s="42"/>
    </row>
    <row r="19" spans="2:11" s="1" customFormat="1" ht="6.95" customHeight="1">
      <c r="B19" s="39"/>
      <c r="K19" s="42"/>
    </row>
    <row r="20" spans="2:11" s="1" customFormat="1" ht="14.45" customHeight="1">
      <c r="B20" s="39"/>
      <c r="D20" s="35" t="s">
        <v>17</v>
      </c>
      <c r="I20" s="35" t="s">
        <v>13</v>
      </c>
      <c r="J20" s="36" t="str">
        <f>'Rekapitulace stavby'!AN16</f>
        <v>120 45 357</v>
      </c>
      <c r="K20" s="42"/>
    </row>
    <row r="21" spans="2:11" s="1" customFormat="1" ht="18" customHeight="1">
      <c r="B21" s="39"/>
      <c r="E21" s="36" t="str">
        <f>'Rekapitulace stavby'!E17</f>
        <v>LHOTA - STAVITELSTVÍ</v>
      </c>
      <c r="I21" s="35" t="s">
        <v>14</v>
      </c>
      <c r="J21" s="36" t="s">
        <v>2</v>
      </c>
      <c r="K21" s="42"/>
    </row>
    <row r="22" spans="2:11" s="1" customFormat="1" ht="15">
      <c r="B22" s="39"/>
      <c r="E22" s="36" t="str">
        <f>'Rekapitulace stavby'!E18</f>
        <v>sdružení osob Bohumil Lhota a Ing. Vít Lhota, sídlo: Zásada 311, PSČ 46825</v>
      </c>
      <c r="I22" s="35"/>
      <c r="J22" s="36"/>
      <c r="K22" s="42"/>
    </row>
    <row r="23" spans="2:11" s="1" customFormat="1" ht="15">
      <c r="B23" s="39"/>
      <c r="E23" s="299" t="str">
        <f>'Rekapitulace stavby'!E19</f>
        <v>ateliér: Smetanova 1809/82, Jablonec nad Nisou, PSČ 46601</v>
      </c>
      <c r="K23" s="42"/>
    </row>
    <row r="24" spans="2:11" s="1" customFormat="1" ht="14.45" customHeight="1">
      <c r="B24" s="39"/>
      <c r="D24" s="35" t="s">
        <v>18</v>
      </c>
      <c r="K24" s="42"/>
    </row>
    <row r="25" spans="2:11" s="6" customFormat="1" ht="22.5" customHeight="1">
      <c r="B25" s="93"/>
      <c r="E25" s="371" t="str">
        <f>'Rekapitulace stavby'!E21:AN21</f>
        <v>Provedeno na základě předložené dokumentace "DSJ".</v>
      </c>
      <c r="F25" s="427"/>
      <c r="G25" s="427"/>
      <c r="H25" s="427"/>
      <c r="K25" s="94"/>
    </row>
    <row r="26" spans="2:11" s="1" customFormat="1" ht="6.95" customHeight="1">
      <c r="B26" s="39"/>
      <c r="K26" s="42"/>
    </row>
    <row r="27" spans="2:11" s="1" customFormat="1" ht="6.95" customHeight="1">
      <c r="B27" s="39"/>
      <c r="D27" s="61"/>
      <c r="E27" s="61"/>
      <c r="F27" s="61"/>
      <c r="G27" s="61"/>
      <c r="H27" s="61"/>
      <c r="I27" s="61"/>
      <c r="J27" s="61"/>
      <c r="K27" s="95"/>
    </row>
    <row r="28" spans="2:11" s="1" customFormat="1" ht="25.35" customHeight="1">
      <c r="B28" s="39"/>
      <c r="D28" s="96" t="s">
        <v>19</v>
      </c>
      <c r="J28" s="97">
        <f>ROUND(J79,2)</f>
        <v>0</v>
      </c>
      <c r="K28" s="42"/>
    </row>
    <row r="29" spans="2:11" s="1" customFormat="1" ht="6.95" customHeight="1">
      <c r="B29" s="39"/>
      <c r="D29" s="61"/>
      <c r="E29" s="61"/>
      <c r="F29" s="61"/>
      <c r="G29" s="61"/>
      <c r="H29" s="61"/>
      <c r="I29" s="61"/>
      <c r="J29" s="61"/>
      <c r="K29" s="95"/>
    </row>
    <row r="30" spans="2:11" s="1" customFormat="1" ht="14.45" customHeight="1">
      <c r="B30" s="39"/>
      <c r="F30" s="98" t="s">
        <v>21</v>
      </c>
      <c r="I30" s="98" t="s">
        <v>20</v>
      </c>
      <c r="J30" s="98" t="s">
        <v>22</v>
      </c>
      <c r="K30" s="42"/>
    </row>
    <row r="31" spans="2:11" s="1" customFormat="1" ht="14.45" customHeight="1">
      <c r="B31" s="39"/>
      <c r="D31" s="44" t="s">
        <v>23</v>
      </c>
      <c r="E31" s="44" t="s">
        <v>24</v>
      </c>
      <c r="F31" s="99">
        <f>ROUND(SUM(J28), 2)</f>
        <v>0</v>
      </c>
      <c r="I31" s="100">
        <v>0.21</v>
      </c>
      <c r="J31" s="99">
        <f>ROUND(ROUND((SUM(F31)), 2)*I31, 2)</f>
        <v>0</v>
      </c>
      <c r="K31" s="42"/>
    </row>
    <row r="32" spans="2:11" s="1" customFormat="1" ht="14.45" customHeight="1">
      <c r="B32" s="39"/>
      <c r="E32" s="44" t="s">
        <v>25</v>
      </c>
      <c r="F32" s="99">
        <v>0</v>
      </c>
      <c r="I32" s="100">
        <v>0.15</v>
      </c>
      <c r="J32" s="99">
        <f>ROUND(ROUND((SUM(F32)), 2)*I32, 2)</f>
        <v>0</v>
      </c>
      <c r="K32" s="42"/>
    </row>
    <row r="33" spans="2:11" s="1" customFormat="1" ht="14.45" hidden="1" customHeight="1">
      <c r="B33" s="39"/>
      <c r="E33" s="44" t="s">
        <v>26</v>
      </c>
      <c r="F33" s="99" t="e">
        <f>ROUND(SUM(#REF!), 2)</f>
        <v>#REF!</v>
      </c>
      <c r="I33" s="100">
        <v>0.21</v>
      </c>
      <c r="J33" s="99">
        <v>0</v>
      </c>
      <c r="K33" s="42"/>
    </row>
    <row r="34" spans="2:11" s="1" customFormat="1" ht="14.45" hidden="1" customHeight="1">
      <c r="B34" s="39"/>
      <c r="E34" s="44" t="s">
        <v>27</v>
      </c>
      <c r="F34" s="99" t="e">
        <f>ROUND(SUM(#REF!), 2)</f>
        <v>#REF!</v>
      </c>
      <c r="I34" s="100">
        <v>0.15</v>
      </c>
      <c r="J34" s="99">
        <v>0</v>
      </c>
      <c r="K34" s="42"/>
    </row>
    <row r="35" spans="2:11" s="1" customFormat="1" ht="14.45" hidden="1" customHeight="1">
      <c r="B35" s="39"/>
      <c r="E35" s="44" t="s">
        <v>28</v>
      </c>
      <c r="F35" s="99" t="e">
        <f>ROUND(SUM(#REF!), 2)</f>
        <v>#REF!</v>
      </c>
      <c r="I35" s="100">
        <v>0</v>
      </c>
      <c r="J35" s="99">
        <v>0</v>
      </c>
      <c r="K35" s="42"/>
    </row>
    <row r="36" spans="2:11" s="1" customFormat="1" ht="6.95" customHeight="1">
      <c r="B36" s="39"/>
      <c r="K36" s="42"/>
    </row>
    <row r="37" spans="2:11" s="1" customFormat="1" ht="25.35" customHeight="1">
      <c r="B37" s="39"/>
      <c r="C37" s="101"/>
      <c r="D37" s="102" t="s">
        <v>29</v>
      </c>
      <c r="E37" s="62"/>
      <c r="F37" s="62"/>
      <c r="G37" s="103" t="s">
        <v>30</v>
      </c>
      <c r="H37" s="104" t="s">
        <v>31</v>
      </c>
      <c r="I37" s="62"/>
      <c r="J37" s="105">
        <f>SUM(J28:J35)</f>
        <v>0</v>
      </c>
      <c r="K37" s="106"/>
    </row>
    <row r="38" spans="2:11" s="1" customFormat="1" ht="14.45" customHeight="1">
      <c r="B38" s="51"/>
      <c r="C38" s="52"/>
      <c r="D38" s="52"/>
      <c r="E38" s="52"/>
      <c r="F38" s="52"/>
      <c r="G38" s="52"/>
      <c r="H38" s="52"/>
      <c r="I38" s="52"/>
      <c r="J38" s="52"/>
      <c r="K38" s="53"/>
    </row>
    <row r="42" spans="2:11" s="1" customFormat="1" ht="6.95" customHeight="1">
      <c r="B42" s="54"/>
      <c r="C42" s="55"/>
      <c r="D42" s="55"/>
      <c r="E42" s="55"/>
      <c r="F42" s="55"/>
      <c r="G42" s="55"/>
      <c r="H42" s="55"/>
      <c r="I42" s="55"/>
      <c r="J42" s="55"/>
      <c r="K42" s="107"/>
    </row>
    <row r="43" spans="2:11" s="1" customFormat="1" ht="36.950000000000003" customHeight="1">
      <c r="B43" s="39"/>
      <c r="C43" s="31" t="s">
        <v>48</v>
      </c>
      <c r="K43" s="42"/>
    </row>
    <row r="44" spans="2:11" s="1" customFormat="1" ht="6.95" customHeight="1">
      <c r="B44" s="39"/>
      <c r="K44" s="42"/>
    </row>
    <row r="45" spans="2:11" s="1" customFormat="1" ht="14.45" customHeight="1">
      <c r="B45" s="39"/>
      <c r="C45" s="35" t="s">
        <v>5</v>
      </c>
      <c r="K45" s="42"/>
    </row>
    <row r="46" spans="2:11" s="1" customFormat="1" ht="22.5" customHeight="1">
      <c r="B46" s="39"/>
      <c r="E46" s="423" t="str">
        <f>E7</f>
        <v>Realizace výtahu a rekonstrukce navazujících prostor interiéru budovy Městského úřadu Smržovka</v>
      </c>
      <c r="F46" s="375"/>
      <c r="G46" s="375"/>
      <c r="H46" s="375"/>
      <c r="K46" s="42"/>
    </row>
    <row r="47" spans="2:11" s="1" customFormat="1" ht="14.45" customHeight="1">
      <c r="B47" s="39"/>
      <c r="C47" s="35" t="s">
        <v>47</v>
      </c>
      <c r="K47" s="42"/>
    </row>
    <row r="48" spans="2:11" s="1" customFormat="1" ht="23.25" customHeight="1">
      <c r="B48" s="39"/>
      <c r="E48" s="382" t="str">
        <f>E9</f>
        <v>SO 03 - Zpevněné plochy, parkoviště, chodníky</v>
      </c>
      <c r="F48" s="375"/>
      <c r="G48" s="375"/>
      <c r="H48" s="375"/>
      <c r="K48" s="42"/>
    </row>
    <row r="49" spans="2:11" s="1" customFormat="1" ht="6.95" customHeight="1">
      <c r="B49" s="39"/>
      <c r="K49" s="42"/>
    </row>
    <row r="50" spans="2:11" s="1" customFormat="1" ht="18" customHeight="1">
      <c r="B50" s="39"/>
      <c r="C50" s="35" t="s">
        <v>10</v>
      </c>
      <c r="F50" s="36" t="str">
        <f>F12</f>
        <v>č.p. 600, st.p.č. 1/1, k.ú. Smržovka [751324]</v>
      </c>
      <c r="I50" s="35" t="s">
        <v>11</v>
      </c>
      <c r="J50" s="92">
        <f>IF(J12="","",J12)</f>
        <v>45743</v>
      </c>
      <c r="K50" s="42"/>
    </row>
    <row r="51" spans="2:11" s="1" customFormat="1" ht="6.95" customHeight="1">
      <c r="B51" s="39"/>
      <c r="K51" s="42"/>
    </row>
    <row r="52" spans="2:11" s="1" customFormat="1" ht="15">
      <c r="B52" s="39"/>
      <c r="C52" s="35" t="s">
        <v>12</v>
      </c>
      <c r="F52" s="36" t="str">
        <f>E15</f>
        <v>Město Smržovka, nám. T.G.Masaryka č.p. 600, Smržovka, PSČ 46851</v>
      </c>
      <c r="I52" s="35" t="s">
        <v>17</v>
      </c>
      <c r="J52" s="36" t="str">
        <f>E21</f>
        <v>LHOTA - STAVITELSTVÍ</v>
      </c>
      <c r="K52" s="42"/>
    </row>
    <row r="53" spans="2:11" s="1" customFormat="1" ht="14.45" customHeight="1">
      <c r="B53" s="39"/>
      <c r="C53" s="35" t="s">
        <v>15</v>
      </c>
      <c r="F53" s="36" t="str">
        <f>IF(E18="","",E18)</f>
        <v xml:space="preserve"> </v>
      </c>
      <c r="K53" s="42"/>
    </row>
    <row r="54" spans="2:11" s="1" customFormat="1" ht="10.35" customHeight="1">
      <c r="B54" s="39"/>
      <c r="K54" s="42"/>
    </row>
    <row r="55" spans="2:11" s="1" customFormat="1" ht="29.25" customHeight="1">
      <c r="B55" s="39"/>
      <c r="C55" s="108" t="s">
        <v>49</v>
      </c>
      <c r="D55" s="101"/>
      <c r="E55" s="101"/>
      <c r="F55" s="101"/>
      <c r="G55" s="101"/>
      <c r="H55" s="101"/>
      <c r="I55" s="101"/>
      <c r="J55" s="109" t="s">
        <v>50</v>
      </c>
      <c r="K55" s="110"/>
    </row>
    <row r="56" spans="2:11" s="1" customFormat="1" ht="10.35" customHeight="1">
      <c r="B56" s="39"/>
      <c r="K56" s="42"/>
    </row>
    <row r="57" spans="2:11" s="1" customFormat="1" ht="29.25" customHeight="1">
      <c r="B57" s="39"/>
      <c r="C57" s="111" t="s">
        <v>51</v>
      </c>
      <c r="J57" s="97">
        <f>J79</f>
        <v>0</v>
      </c>
      <c r="K57" s="42"/>
    </row>
    <row r="58" spans="2:11" s="7" customFormat="1" ht="24.95" customHeight="1">
      <c r="B58" s="112"/>
      <c r="D58" s="113" t="s">
        <v>52</v>
      </c>
      <c r="E58" s="114"/>
      <c r="F58" s="114"/>
      <c r="G58" s="114"/>
      <c r="H58" s="114"/>
      <c r="I58" s="114"/>
      <c r="J58" s="115">
        <f>J84</f>
        <v>0</v>
      </c>
      <c r="K58" s="116"/>
    </row>
    <row r="59" spans="2:11" s="8" customFormat="1" ht="19.899999999999999" customHeight="1">
      <c r="B59" s="117"/>
      <c r="D59" s="118" t="s">
        <v>303</v>
      </c>
      <c r="E59" s="119"/>
      <c r="F59" s="119"/>
      <c r="G59" s="119"/>
      <c r="H59" s="119"/>
      <c r="I59" s="119"/>
      <c r="J59" s="120">
        <f>J85</f>
        <v>0</v>
      </c>
      <c r="K59" s="121"/>
    </row>
    <row r="60" spans="2:11" s="1" customFormat="1" ht="21.75" customHeight="1">
      <c r="B60" s="39"/>
      <c r="K60" s="42"/>
    </row>
    <row r="61" spans="2:11" s="1" customFormat="1" ht="6.95" customHeight="1">
      <c r="B61" s="51"/>
      <c r="C61" s="52"/>
      <c r="D61" s="52"/>
      <c r="E61" s="52"/>
      <c r="F61" s="52"/>
      <c r="G61" s="52"/>
      <c r="H61" s="52"/>
      <c r="I61" s="52"/>
      <c r="J61" s="52"/>
      <c r="K61" s="53"/>
    </row>
    <row r="65" spans="2:11" s="1" customFormat="1" ht="6.95" customHeight="1">
      <c r="B65" s="54"/>
      <c r="C65" s="55"/>
      <c r="D65" s="55"/>
      <c r="E65" s="55"/>
      <c r="F65" s="55"/>
      <c r="G65" s="55"/>
      <c r="H65" s="55"/>
      <c r="I65" s="55"/>
      <c r="J65" s="55"/>
      <c r="K65" s="55"/>
    </row>
    <row r="66" spans="2:11" s="1" customFormat="1" ht="36.950000000000003" customHeight="1">
      <c r="B66" s="39"/>
      <c r="C66" s="31" t="s">
        <v>54</v>
      </c>
    </row>
    <row r="67" spans="2:11" s="1" customFormat="1" ht="6.95" customHeight="1">
      <c r="B67" s="39"/>
    </row>
    <row r="68" spans="2:11" s="1" customFormat="1" ht="14.45" customHeight="1">
      <c r="B68" s="39"/>
      <c r="C68" s="35" t="s">
        <v>5</v>
      </c>
    </row>
    <row r="69" spans="2:11" s="1" customFormat="1" ht="22.5" customHeight="1">
      <c r="B69" s="39"/>
      <c r="E69" s="423" t="str">
        <f>E7</f>
        <v>Realizace výtahu a rekonstrukce navazujících prostor interiéru budovy Městského úřadu Smržovka</v>
      </c>
      <c r="F69" s="375"/>
      <c r="G69" s="375"/>
      <c r="H69" s="375"/>
    </row>
    <row r="70" spans="2:11" s="1" customFormat="1" ht="14.45" customHeight="1">
      <c r="B70" s="39"/>
      <c r="C70" s="35" t="s">
        <v>47</v>
      </c>
    </row>
    <row r="71" spans="2:11" s="1" customFormat="1" ht="23.25" customHeight="1">
      <c r="B71" s="39"/>
      <c r="E71" s="382" t="str">
        <f>E9</f>
        <v>SO 03 - Zpevněné plochy, parkoviště, chodníky</v>
      </c>
      <c r="F71" s="375"/>
      <c r="G71" s="375"/>
      <c r="H71" s="375"/>
    </row>
    <row r="72" spans="2:11" s="1" customFormat="1" ht="6.95" customHeight="1">
      <c r="B72" s="39"/>
    </row>
    <row r="73" spans="2:11" s="1" customFormat="1" ht="18" customHeight="1">
      <c r="B73" s="39"/>
      <c r="C73" s="35" t="s">
        <v>10</v>
      </c>
      <c r="F73" s="36" t="str">
        <f>F12</f>
        <v>č.p. 600, st.p.č. 1/1, k.ú. Smržovka [751324]</v>
      </c>
      <c r="I73" s="35" t="s">
        <v>11</v>
      </c>
      <c r="J73" s="92">
        <f>IF(J12="","",J12)</f>
        <v>45743</v>
      </c>
    </row>
    <row r="74" spans="2:11" s="1" customFormat="1" ht="6.95" customHeight="1">
      <c r="B74" s="39"/>
    </row>
    <row r="75" spans="2:11" s="1" customFormat="1" ht="15">
      <c r="B75" s="39"/>
      <c r="C75" s="35" t="s">
        <v>12</v>
      </c>
      <c r="F75" s="36" t="str">
        <f>E15</f>
        <v>Město Smržovka, nám. T.G.Masaryka č.p. 600, Smržovka, PSČ 46851</v>
      </c>
      <c r="I75" s="35" t="s">
        <v>17</v>
      </c>
      <c r="J75" s="36" t="str">
        <f>E21</f>
        <v>LHOTA - STAVITELSTVÍ</v>
      </c>
    </row>
    <row r="76" spans="2:11" s="1" customFormat="1" ht="14.45" customHeight="1">
      <c r="B76" s="39"/>
      <c r="C76" s="35" t="s">
        <v>15</v>
      </c>
      <c r="F76" s="36" t="str">
        <f>IF(E18="","",E18)</f>
        <v xml:space="preserve"> </v>
      </c>
    </row>
    <row r="77" spans="2:11" s="1" customFormat="1" ht="10.35" customHeight="1">
      <c r="B77" s="39"/>
    </row>
    <row r="78" spans="2:11" s="9" customFormat="1" ht="29.25" customHeight="1">
      <c r="B78" s="122"/>
      <c r="C78" s="123" t="s">
        <v>55</v>
      </c>
      <c r="D78" s="124" t="s">
        <v>37</v>
      </c>
      <c r="E78" s="124" t="s">
        <v>33</v>
      </c>
      <c r="F78" s="124" t="s">
        <v>56</v>
      </c>
      <c r="G78" s="124" t="s">
        <v>57</v>
      </c>
      <c r="H78" s="124" t="s">
        <v>58</v>
      </c>
      <c r="I78" s="125" t="s">
        <v>59</v>
      </c>
      <c r="J78" s="124" t="s">
        <v>50</v>
      </c>
      <c r="K78" s="126" t="s">
        <v>60</v>
      </c>
    </row>
    <row r="79" spans="2:11" s="1" customFormat="1" ht="29.25" customHeight="1">
      <c r="B79" s="39"/>
      <c r="C79" s="64" t="s">
        <v>51</v>
      </c>
      <c r="J79" s="127">
        <f>J84</f>
        <v>0</v>
      </c>
    </row>
    <row r="80" spans="2:11" s="1" customFormat="1" ht="29.25" customHeight="1">
      <c r="B80" s="39"/>
      <c r="C80" s="64"/>
      <c r="J80" s="127"/>
    </row>
    <row r="81" spans="2:11" s="1" customFormat="1" ht="29.25" customHeight="1">
      <c r="B81" s="39"/>
      <c r="C81" s="64"/>
      <c r="J81" s="127"/>
    </row>
    <row r="82" spans="2:11" s="1" customFormat="1" ht="29.25" customHeight="1">
      <c r="B82" s="39"/>
      <c r="C82" s="4" t="s">
        <v>634</v>
      </c>
      <c r="F82" s="159"/>
      <c r="J82" s="127"/>
    </row>
    <row r="83" spans="2:11" s="1" customFormat="1" ht="58.9" customHeight="1">
      <c r="B83" s="39"/>
      <c r="C83" s="64"/>
      <c r="F83" s="160" t="s">
        <v>930</v>
      </c>
      <c r="J83" s="127"/>
    </row>
    <row r="84" spans="2:11" s="10" customFormat="1" ht="37.35" customHeight="1">
      <c r="B84" s="128"/>
      <c r="D84" s="129" t="s">
        <v>39</v>
      </c>
      <c r="E84" s="130" t="s">
        <v>62</v>
      </c>
      <c r="F84" s="130" t="s">
        <v>63</v>
      </c>
      <c r="J84" s="131">
        <f>J85</f>
        <v>0</v>
      </c>
    </row>
    <row r="85" spans="2:11" s="10" customFormat="1" ht="19.899999999999999" customHeight="1">
      <c r="B85" s="128"/>
      <c r="D85" s="129" t="s">
        <v>39</v>
      </c>
      <c r="E85" s="133" t="s">
        <v>99</v>
      </c>
      <c r="F85" s="133" t="s">
        <v>304</v>
      </c>
      <c r="J85" s="134">
        <f>SUM(J86:J203)</f>
        <v>0</v>
      </c>
    </row>
    <row r="86" spans="2:11" s="1" customFormat="1" ht="22.5" customHeight="1">
      <c r="B86" s="39"/>
      <c r="C86" s="135">
        <v>1</v>
      </c>
      <c r="D86" s="135" t="s">
        <v>65</v>
      </c>
      <c r="E86" s="136" t="s">
        <v>612</v>
      </c>
      <c r="F86" s="137" t="s">
        <v>611</v>
      </c>
      <c r="G86" s="138" t="s">
        <v>155</v>
      </c>
      <c r="H86" s="139">
        <f>H88</f>
        <v>11.705</v>
      </c>
      <c r="I86" s="90"/>
      <c r="J86" s="140">
        <f>ROUND(I86*H86,2)</f>
        <v>0</v>
      </c>
      <c r="K86" s="137"/>
    </row>
    <row r="87" spans="2:11" s="11" customFormat="1">
      <c r="B87" s="141"/>
      <c r="D87" s="142" t="s">
        <v>95</v>
      </c>
      <c r="E87" s="143" t="s">
        <v>2</v>
      </c>
      <c r="F87" s="144" t="s">
        <v>911</v>
      </c>
      <c r="H87" s="145">
        <f>(3.56+4.585+3.56)</f>
        <v>11.705</v>
      </c>
    </row>
    <row r="88" spans="2:11" s="12" customFormat="1">
      <c r="B88" s="146"/>
      <c r="D88" s="142" t="s">
        <v>95</v>
      </c>
      <c r="E88" s="147" t="s">
        <v>2</v>
      </c>
      <c r="F88" s="148" t="s">
        <v>96</v>
      </c>
      <c r="H88" s="149">
        <f>SUM(H87:H87)</f>
        <v>11.705</v>
      </c>
    </row>
    <row r="89" spans="2:11" s="1" customFormat="1" ht="22.5" customHeight="1">
      <c r="B89" s="39"/>
      <c r="C89" s="135">
        <f>C86+1</f>
        <v>2</v>
      </c>
      <c r="D89" s="135" t="s">
        <v>65</v>
      </c>
      <c r="E89" s="136" t="s">
        <v>944</v>
      </c>
      <c r="F89" s="137" t="s">
        <v>945</v>
      </c>
      <c r="G89" s="138" t="s">
        <v>105</v>
      </c>
      <c r="H89" s="139">
        <f>H91</f>
        <v>5.4180000000000001</v>
      </c>
      <c r="I89" s="90"/>
      <c r="J89" s="140">
        <f>ROUND(I89*H89,2)</f>
        <v>0</v>
      </c>
      <c r="K89" s="137"/>
    </row>
    <row r="90" spans="2:11" s="11" customFormat="1">
      <c r="B90" s="141"/>
      <c r="D90" s="142" t="s">
        <v>95</v>
      </c>
      <c r="E90" s="143" t="s">
        <v>2</v>
      </c>
      <c r="F90" s="144" t="s">
        <v>950</v>
      </c>
      <c r="H90" s="145">
        <f>(2.58*2.1)</f>
        <v>5.4180000000000001</v>
      </c>
    </row>
    <row r="91" spans="2:11" s="12" customFormat="1">
      <c r="B91" s="146"/>
      <c r="D91" s="142" t="s">
        <v>95</v>
      </c>
      <c r="E91" s="147" t="s">
        <v>2</v>
      </c>
      <c r="F91" s="148" t="s">
        <v>96</v>
      </c>
      <c r="H91" s="149">
        <f>SUM(H90:H90)</f>
        <v>5.4180000000000001</v>
      </c>
    </row>
    <row r="92" spans="2:11" s="1" customFormat="1" ht="22.5" customHeight="1">
      <c r="B92" s="39"/>
      <c r="C92" s="135">
        <f>C89+1</f>
        <v>3</v>
      </c>
      <c r="D92" s="135" t="s">
        <v>65</v>
      </c>
      <c r="E92" s="136" t="s">
        <v>946</v>
      </c>
      <c r="F92" s="137" t="s">
        <v>947</v>
      </c>
      <c r="G92" s="138" t="s">
        <v>155</v>
      </c>
      <c r="H92" s="139">
        <f>H94</f>
        <v>4.8800000000000008</v>
      </c>
      <c r="I92" s="90"/>
      <c r="J92" s="140">
        <f>ROUND(I92*H92,2)</f>
        <v>0</v>
      </c>
      <c r="K92" s="137"/>
    </row>
    <row r="93" spans="2:11" s="11" customFormat="1">
      <c r="B93" s="141"/>
      <c r="D93" s="142" t="s">
        <v>95</v>
      </c>
      <c r="E93" s="143" t="s">
        <v>2</v>
      </c>
      <c r="F93" s="144" t="s">
        <v>949</v>
      </c>
      <c r="H93" s="145">
        <f>(2.68+2.2)</f>
        <v>4.8800000000000008</v>
      </c>
    </row>
    <row r="94" spans="2:11" s="12" customFormat="1">
      <c r="B94" s="146"/>
      <c r="D94" s="142" t="s">
        <v>95</v>
      </c>
      <c r="E94" s="147" t="s">
        <v>2</v>
      </c>
      <c r="F94" s="148" t="s">
        <v>96</v>
      </c>
      <c r="H94" s="149">
        <f>SUM(H93:H93)</f>
        <v>4.8800000000000008</v>
      </c>
    </row>
    <row r="95" spans="2:11" s="1" customFormat="1" ht="22.5" customHeight="1">
      <c r="B95" s="39"/>
      <c r="C95" s="135">
        <f>C92+1</f>
        <v>4</v>
      </c>
      <c r="D95" s="135" t="s">
        <v>65</v>
      </c>
      <c r="E95" s="136" t="s">
        <v>944</v>
      </c>
      <c r="F95" s="137" t="s">
        <v>948</v>
      </c>
      <c r="G95" s="138" t="s">
        <v>105</v>
      </c>
      <c r="H95" s="139">
        <f>H97</f>
        <v>5.8960000000000008</v>
      </c>
      <c r="I95" s="90"/>
      <c r="J95" s="140">
        <f>ROUND(I95*H95,2)</f>
        <v>0</v>
      </c>
      <c r="K95" s="137"/>
    </row>
    <row r="96" spans="2:11" s="11" customFormat="1">
      <c r="B96" s="141"/>
      <c r="D96" s="142" t="s">
        <v>95</v>
      </c>
      <c r="E96" s="143" t="s">
        <v>2</v>
      </c>
      <c r="F96" s="144" t="s">
        <v>951</v>
      </c>
      <c r="H96" s="145">
        <f>(2.68*2.2)</f>
        <v>5.8960000000000008</v>
      </c>
    </row>
    <row r="97" spans="2:11" s="12" customFormat="1">
      <c r="B97" s="146"/>
      <c r="D97" s="142" t="s">
        <v>95</v>
      </c>
      <c r="E97" s="147" t="s">
        <v>2</v>
      </c>
      <c r="F97" s="148" t="s">
        <v>96</v>
      </c>
      <c r="H97" s="149">
        <f>SUM(H96:H96)</f>
        <v>5.8960000000000008</v>
      </c>
    </row>
    <row r="98" spans="2:11" s="1" customFormat="1" ht="22.5" customHeight="1">
      <c r="B98" s="39"/>
      <c r="C98" s="135">
        <f>C95+1</f>
        <v>5</v>
      </c>
      <c r="D98" s="135" t="s">
        <v>65</v>
      </c>
      <c r="E98" s="136" t="s">
        <v>578</v>
      </c>
      <c r="F98" s="137" t="s">
        <v>579</v>
      </c>
      <c r="G98" s="138" t="s">
        <v>94</v>
      </c>
      <c r="H98" s="139">
        <f>H100</f>
        <v>25.338984</v>
      </c>
      <c r="I98" s="90"/>
      <c r="J98" s="140">
        <f>ROUND(I98*H98,2)</f>
        <v>0</v>
      </c>
      <c r="K98" s="137"/>
    </row>
    <row r="99" spans="2:11" s="11" customFormat="1">
      <c r="B99" s="141"/>
      <c r="D99" s="142" t="s">
        <v>95</v>
      </c>
      <c r="E99" s="143" t="s">
        <v>2</v>
      </c>
      <c r="F99" s="144" t="s">
        <v>912</v>
      </c>
      <c r="H99" s="145">
        <f>(3.56+4.585+3.56)*0.88*2.46</f>
        <v>25.338984</v>
      </c>
    </row>
    <row r="100" spans="2:11" s="12" customFormat="1">
      <c r="B100" s="146"/>
      <c r="D100" s="142" t="s">
        <v>95</v>
      </c>
      <c r="E100" s="147" t="s">
        <v>2</v>
      </c>
      <c r="F100" s="148" t="s">
        <v>96</v>
      </c>
      <c r="H100" s="149">
        <f>SUM(H99:H99)</f>
        <v>25.338984</v>
      </c>
    </row>
    <row r="101" spans="2:11" s="1" customFormat="1">
      <c r="B101" s="39"/>
      <c r="C101" s="135">
        <f>C98+1</f>
        <v>6</v>
      </c>
      <c r="D101" s="135" t="s">
        <v>65</v>
      </c>
      <c r="E101" s="136" t="s">
        <v>915</v>
      </c>
      <c r="F101" s="137" t="s">
        <v>916</v>
      </c>
      <c r="G101" s="138" t="s">
        <v>105</v>
      </c>
      <c r="H101" s="139">
        <f>H103</f>
        <v>10.3004</v>
      </c>
      <c r="I101" s="90"/>
      <c r="J101" s="140">
        <f>ROUND(I101*H101,2)</f>
        <v>0</v>
      </c>
      <c r="K101" s="137"/>
    </row>
    <row r="102" spans="2:11" s="11" customFormat="1">
      <c r="B102" s="141"/>
      <c r="D102" s="142" t="s">
        <v>95</v>
      </c>
      <c r="E102" s="143" t="s">
        <v>2</v>
      </c>
      <c r="F102" s="144" t="s">
        <v>917</v>
      </c>
      <c r="H102" s="145">
        <f>(3.56+4.585+3.56)*0.88</f>
        <v>10.3004</v>
      </c>
    </row>
    <row r="103" spans="2:11" s="12" customFormat="1">
      <c r="B103" s="146"/>
      <c r="D103" s="142" t="s">
        <v>95</v>
      </c>
      <c r="E103" s="147" t="s">
        <v>2</v>
      </c>
      <c r="F103" s="148" t="s">
        <v>96</v>
      </c>
      <c r="H103" s="149">
        <f>SUM(H102:H102)</f>
        <v>10.3004</v>
      </c>
    </row>
    <row r="104" spans="2:11" s="1" customFormat="1">
      <c r="B104" s="39"/>
      <c r="C104" s="135">
        <f>C101+1</f>
        <v>7</v>
      </c>
      <c r="D104" s="135" t="s">
        <v>65</v>
      </c>
      <c r="E104" s="136" t="s">
        <v>621</v>
      </c>
      <c r="F104" s="137" t="s">
        <v>918</v>
      </c>
      <c r="G104" s="138" t="s">
        <v>105</v>
      </c>
      <c r="H104" s="139">
        <f>H106</f>
        <v>10.3004</v>
      </c>
      <c r="I104" s="90"/>
      <c r="J104" s="140">
        <f>ROUND(I104*H104,2)</f>
        <v>0</v>
      </c>
      <c r="K104" s="137"/>
    </row>
    <row r="105" spans="2:11" s="11" customFormat="1">
      <c r="B105" s="141"/>
      <c r="D105" s="142" t="s">
        <v>95</v>
      </c>
      <c r="E105" s="143" t="s">
        <v>2</v>
      </c>
      <c r="F105" s="144" t="s">
        <v>917</v>
      </c>
      <c r="H105" s="145">
        <f>(3.56+4.585+3.56)*0.88</f>
        <v>10.3004</v>
      </c>
    </row>
    <row r="106" spans="2:11" s="12" customFormat="1">
      <c r="B106" s="146"/>
      <c r="D106" s="142" t="s">
        <v>95</v>
      </c>
      <c r="E106" s="147" t="s">
        <v>2</v>
      </c>
      <c r="F106" s="148" t="s">
        <v>96</v>
      </c>
      <c r="H106" s="149">
        <f>SUM(H105:H105)</f>
        <v>10.3004</v>
      </c>
    </row>
    <row r="107" spans="2:11" s="1" customFormat="1" ht="22.5" customHeight="1">
      <c r="B107" s="39"/>
      <c r="C107" s="135">
        <f>C104+1</f>
        <v>8</v>
      </c>
      <c r="D107" s="135" t="s">
        <v>65</v>
      </c>
      <c r="E107" s="136" t="s">
        <v>907</v>
      </c>
      <c r="F107" s="137" t="s">
        <v>906</v>
      </c>
      <c r="G107" s="138" t="s">
        <v>94</v>
      </c>
      <c r="H107" s="139">
        <f>H109</f>
        <v>2.5750999999999999</v>
      </c>
      <c r="I107" s="90"/>
      <c r="J107" s="140">
        <f>ROUND(I107*H107,2)</f>
        <v>0</v>
      </c>
      <c r="K107" s="137"/>
    </row>
    <row r="108" spans="2:11" s="11" customFormat="1">
      <c r="B108" s="141"/>
      <c r="D108" s="142" t="s">
        <v>95</v>
      </c>
      <c r="E108" s="143" t="s">
        <v>2</v>
      </c>
      <c r="F108" s="144" t="s">
        <v>919</v>
      </c>
      <c r="H108" s="145">
        <f>(3.56+4.585+3.56)*0.88*0.25</f>
        <v>2.5750999999999999</v>
      </c>
    </row>
    <row r="109" spans="2:11" s="12" customFormat="1">
      <c r="B109" s="146"/>
      <c r="D109" s="142" t="s">
        <v>95</v>
      </c>
      <c r="E109" s="147" t="s">
        <v>2</v>
      </c>
      <c r="F109" s="148" t="s">
        <v>96</v>
      </c>
      <c r="H109" s="149">
        <f>SUM(H108:H108)</f>
        <v>2.5750999999999999</v>
      </c>
    </row>
    <row r="110" spans="2:11" s="1" customFormat="1" ht="22.5" customHeight="1">
      <c r="B110" s="39"/>
      <c r="C110" s="135">
        <f>C107+1</f>
        <v>9</v>
      </c>
      <c r="D110" s="135" t="s">
        <v>65</v>
      </c>
      <c r="E110" s="136" t="s">
        <v>584</v>
      </c>
      <c r="F110" s="137" t="s">
        <v>585</v>
      </c>
      <c r="G110" s="138" t="s">
        <v>94</v>
      </c>
      <c r="H110" s="139">
        <f>H115</f>
        <v>26.374264</v>
      </c>
      <c r="I110" s="90"/>
      <c r="J110" s="140">
        <f>ROUND(I110*H110,2)</f>
        <v>0</v>
      </c>
      <c r="K110" s="137"/>
    </row>
    <row r="111" spans="2:11" s="11" customFormat="1">
      <c r="B111" s="141"/>
      <c r="D111" s="142" t="s">
        <v>95</v>
      </c>
      <c r="E111" s="143" t="s">
        <v>2</v>
      </c>
      <c r="F111" s="144" t="s">
        <v>952</v>
      </c>
      <c r="H111" s="145">
        <f>(2.58*2.1)*0.08</f>
        <v>0.43344000000000005</v>
      </c>
    </row>
    <row r="112" spans="2:11" s="11" customFormat="1">
      <c r="B112" s="141"/>
      <c r="D112" s="142" t="s">
        <v>95</v>
      </c>
      <c r="E112" s="143" t="s">
        <v>2</v>
      </c>
      <c r="F112" s="144" t="s">
        <v>953</v>
      </c>
      <c r="H112" s="145">
        <f>(2.68+2.2)*0.3*0.25</f>
        <v>0.36600000000000005</v>
      </c>
    </row>
    <row r="113" spans="2:11" s="11" customFormat="1">
      <c r="B113" s="141"/>
      <c r="D113" s="142" t="s">
        <v>95</v>
      </c>
      <c r="E113" s="143" t="s">
        <v>2</v>
      </c>
      <c r="F113" s="144" t="s">
        <v>954</v>
      </c>
      <c r="H113" s="145">
        <f>(2.68*2.2)*0.04</f>
        <v>0.23584000000000005</v>
      </c>
    </row>
    <row r="114" spans="2:11" s="11" customFormat="1">
      <c r="B114" s="141"/>
      <c r="D114" s="142" t="s">
        <v>95</v>
      </c>
      <c r="E114" s="143" t="s">
        <v>2</v>
      </c>
      <c r="F114" s="144" t="s">
        <v>912</v>
      </c>
      <c r="H114" s="145">
        <f>(3.56+4.585+3.56)*0.88*2.46</f>
        <v>25.338984</v>
      </c>
    </row>
    <row r="115" spans="2:11" s="12" customFormat="1">
      <c r="B115" s="146"/>
      <c r="D115" s="142" t="s">
        <v>95</v>
      </c>
      <c r="E115" s="147" t="s">
        <v>2</v>
      </c>
      <c r="F115" s="148" t="s">
        <v>96</v>
      </c>
      <c r="H115" s="149">
        <f>SUM(H111:H114)</f>
        <v>26.374264</v>
      </c>
    </row>
    <row r="116" spans="2:11" s="1" customFormat="1" ht="22.5" customHeight="1">
      <c r="B116" s="39"/>
      <c r="C116" s="135">
        <f>C110+1</f>
        <v>10</v>
      </c>
      <c r="D116" s="135" t="s">
        <v>65</v>
      </c>
      <c r="E116" s="136" t="s">
        <v>586</v>
      </c>
      <c r="F116" s="137" t="s">
        <v>593</v>
      </c>
      <c r="G116" s="138" t="s">
        <v>94</v>
      </c>
      <c r="H116" s="139">
        <f>H121</f>
        <v>26.374264</v>
      </c>
      <c r="I116" s="90"/>
      <c r="J116" s="140">
        <f>ROUND(I116*H116,2)</f>
        <v>0</v>
      </c>
      <c r="K116" s="137"/>
    </row>
    <row r="117" spans="2:11" s="11" customFormat="1">
      <c r="B117" s="141"/>
      <c r="D117" s="142" t="s">
        <v>95</v>
      </c>
      <c r="E117" s="143" t="s">
        <v>2</v>
      </c>
      <c r="F117" s="144" t="s">
        <v>952</v>
      </c>
      <c r="H117" s="145">
        <f>(2.58*2.1)*0.08</f>
        <v>0.43344000000000005</v>
      </c>
    </row>
    <row r="118" spans="2:11" s="11" customFormat="1">
      <c r="B118" s="141"/>
      <c r="D118" s="142" t="s">
        <v>95</v>
      </c>
      <c r="E118" s="143" t="s">
        <v>2</v>
      </c>
      <c r="F118" s="144" t="s">
        <v>953</v>
      </c>
      <c r="H118" s="145">
        <f>(2.68+2.2)*0.3*0.25</f>
        <v>0.36600000000000005</v>
      </c>
    </row>
    <row r="119" spans="2:11" s="11" customFormat="1">
      <c r="B119" s="141"/>
      <c r="D119" s="142" t="s">
        <v>95</v>
      </c>
      <c r="E119" s="143" t="s">
        <v>2</v>
      </c>
      <c r="F119" s="144" t="s">
        <v>954</v>
      </c>
      <c r="H119" s="145">
        <f>(2.68*2.2)*0.04</f>
        <v>0.23584000000000005</v>
      </c>
    </row>
    <row r="120" spans="2:11" s="11" customFormat="1">
      <c r="B120" s="141"/>
      <c r="D120" s="142" t="s">
        <v>95</v>
      </c>
      <c r="E120" s="143" t="s">
        <v>2</v>
      </c>
      <c r="F120" s="144" t="s">
        <v>912</v>
      </c>
      <c r="H120" s="145">
        <f>(3.56+4.585+3.56)*0.88*2.46</f>
        <v>25.338984</v>
      </c>
    </row>
    <row r="121" spans="2:11" s="12" customFormat="1">
      <c r="B121" s="146"/>
      <c r="D121" s="142" t="s">
        <v>95</v>
      </c>
      <c r="E121" s="147" t="s">
        <v>2</v>
      </c>
      <c r="F121" s="148" t="s">
        <v>96</v>
      </c>
      <c r="H121" s="149">
        <f>SUM(H117:H120)</f>
        <v>26.374264</v>
      </c>
    </row>
    <row r="122" spans="2:11" s="1" customFormat="1" ht="22.5" customHeight="1">
      <c r="B122" s="39"/>
      <c r="C122" s="135">
        <f>C116+1</f>
        <v>11</v>
      </c>
      <c r="D122" s="135" t="s">
        <v>65</v>
      </c>
      <c r="E122" s="136" t="s">
        <v>587</v>
      </c>
      <c r="F122" s="137" t="s">
        <v>588</v>
      </c>
      <c r="G122" s="138" t="s">
        <v>94</v>
      </c>
      <c r="H122" s="139">
        <f>H127</f>
        <v>26.374264</v>
      </c>
      <c r="I122" s="90"/>
      <c r="J122" s="140">
        <f>ROUND(I122*H122,2)</f>
        <v>0</v>
      </c>
      <c r="K122" s="137"/>
    </row>
    <row r="123" spans="2:11" s="11" customFormat="1">
      <c r="B123" s="141"/>
      <c r="D123" s="142" t="s">
        <v>95</v>
      </c>
      <c r="E123" s="143" t="s">
        <v>2</v>
      </c>
      <c r="F123" s="144" t="s">
        <v>952</v>
      </c>
      <c r="H123" s="145">
        <f>(2.58*2.1)*0.08</f>
        <v>0.43344000000000005</v>
      </c>
    </row>
    <row r="124" spans="2:11" s="11" customFormat="1">
      <c r="B124" s="141"/>
      <c r="D124" s="142" t="s">
        <v>95</v>
      </c>
      <c r="E124" s="143" t="s">
        <v>2</v>
      </c>
      <c r="F124" s="144" t="s">
        <v>953</v>
      </c>
      <c r="H124" s="145">
        <f>(2.68+2.2)*0.3*0.25</f>
        <v>0.36600000000000005</v>
      </c>
    </row>
    <row r="125" spans="2:11" s="11" customFormat="1">
      <c r="B125" s="141"/>
      <c r="D125" s="142" t="s">
        <v>95</v>
      </c>
      <c r="E125" s="143" t="s">
        <v>2</v>
      </c>
      <c r="F125" s="144" t="s">
        <v>954</v>
      </c>
      <c r="H125" s="145">
        <f>(2.68*2.2)*0.04</f>
        <v>0.23584000000000005</v>
      </c>
    </row>
    <row r="126" spans="2:11" s="11" customFormat="1">
      <c r="B126" s="141"/>
      <c r="D126" s="142" t="s">
        <v>95</v>
      </c>
      <c r="E126" s="143" t="s">
        <v>2</v>
      </c>
      <c r="F126" s="144" t="s">
        <v>912</v>
      </c>
      <c r="H126" s="145">
        <f>(3.56+4.585+3.56)*0.88*2.46</f>
        <v>25.338984</v>
      </c>
    </row>
    <row r="127" spans="2:11" s="12" customFormat="1">
      <c r="B127" s="146"/>
      <c r="D127" s="142" t="s">
        <v>95</v>
      </c>
      <c r="E127" s="147" t="s">
        <v>2</v>
      </c>
      <c r="F127" s="148" t="s">
        <v>96</v>
      </c>
      <c r="H127" s="149">
        <f>SUM(H123:H126)</f>
        <v>26.374264</v>
      </c>
    </row>
    <row r="128" spans="2:11" s="1" customFormat="1" ht="22.5" customHeight="1">
      <c r="B128" s="39"/>
      <c r="C128" s="135">
        <f>C122+1</f>
        <v>12</v>
      </c>
      <c r="D128" s="135" t="s">
        <v>65</v>
      </c>
      <c r="E128" s="136" t="s">
        <v>589</v>
      </c>
      <c r="F128" s="137" t="s">
        <v>590</v>
      </c>
      <c r="G128" s="138" t="s">
        <v>94</v>
      </c>
      <c r="H128" s="139">
        <f>H133</f>
        <v>26.374264</v>
      </c>
      <c r="I128" s="90"/>
      <c r="J128" s="140">
        <f>H128*I128</f>
        <v>0</v>
      </c>
      <c r="K128" s="137"/>
    </row>
    <row r="129" spans="2:11" s="11" customFormat="1">
      <c r="B129" s="141"/>
      <c r="D129" s="142" t="s">
        <v>95</v>
      </c>
      <c r="E129" s="143" t="s">
        <v>2</v>
      </c>
      <c r="F129" s="144" t="s">
        <v>952</v>
      </c>
      <c r="H129" s="145">
        <f>(2.58*2.1)*0.08</f>
        <v>0.43344000000000005</v>
      </c>
    </row>
    <row r="130" spans="2:11" s="11" customFormat="1">
      <c r="B130" s="141"/>
      <c r="D130" s="142" t="s">
        <v>95</v>
      </c>
      <c r="E130" s="143" t="s">
        <v>2</v>
      </c>
      <c r="F130" s="144" t="s">
        <v>953</v>
      </c>
      <c r="H130" s="145">
        <f>(2.68+2.2)*0.3*0.25</f>
        <v>0.36600000000000005</v>
      </c>
    </row>
    <row r="131" spans="2:11" s="11" customFormat="1">
      <c r="B131" s="141"/>
      <c r="D131" s="142" t="s">
        <v>95</v>
      </c>
      <c r="E131" s="143" t="s">
        <v>2</v>
      </c>
      <c r="F131" s="144" t="s">
        <v>954</v>
      </c>
      <c r="H131" s="145">
        <f>(2.68*2.2)*0.04</f>
        <v>0.23584000000000005</v>
      </c>
    </row>
    <row r="132" spans="2:11" s="11" customFormat="1">
      <c r="B132" s="141"/>
      <c r="D132" s="142" t="s">
        <v>95</v>
      </c>
      <c r="E132" s="143" t="s">
        <v>2</v>
      </c>
      <c r="F132" s="144" t="s">
        <v>912</v>
      </c>
      <c r="H132" s="145">
        <f>(3.56+4.585+3.56)*0.88*2.46</f>
        <v>25.338984</v>
      </c>
    </row>
    <row r="133" spans="2:11" s="12" customFormat="1">
      <c r="B133" s="146"/>
      <c r="D133" s="142" t="s">
        <v>95</v>
      </c>
      <c r="E133" s="147" t="s">
        <v>2</v>
      </c>
      <c r="F133" s="148" t="s">
        <v>96</v>
      </c>
      <c r="H133" s="149">
        <f>SUM(H129:H132)</f>
        <v>26.374264</v>
      </c>
    </row>
    <row r="134" spans="2:11" s="1" customFormat="1" ht="22.5" customHeight="1">
      <c r="B134" s="39"/>
      <c r="C134" s="135">
        <f>C128+1</f>
        <v>13</v>
      </c>
      <c r="D134" s="135" t="s">
        <v>65</v>
      </c>
      <c r="E134" s="136" t="s">
        <v>591</v>
      </c>
      <c r="F134" s="137" t="s">
        <v>592</v>
      </c>
      <c r="G134" s="138" t="s">
        <v>101</v>
      </c>
      <c r="H134" s="139">
        <f>H136</f>
        <v>24.308943999999997</v>
      </c>
      <c r="I134" s="90"/>
      <c r="J134" s="140">
        <f>H134*I134</f>
        <v>0</v>
      </c>
      <c r="K134" s="137"/>
    </row>
    <row r="135" spans="2:11" s="11" customFormat="1">
      <c r="B135" s="141"/>
      <c r="D135" s="142" t="s">
        <v>95</v>
      </c>
      <c r="E135" s="143" t="s">
        <v>2</v>
      </c>
      <c r="F135" s="144" t="s">
        <v>920</v>
      </c>
      <c r="H135" s="145">
        <f>(3.56+4.585+3.56)*0.88*2.36</f>
        <v>24.308943999999997</v>
      </c>
    </row>
    <row r="136" spans="2:11" s="12" customFormat="1">
      <c r="B136" s="146"/>
      <c r="D136" s="142" t="s">
        <v>95</v>
      </c>
      <c r="E136" s="147" t="s">
        <v>2</v>
      </c>
      <c r="F136" s="148" t="s">
        <v>96</v>
      </c>
      <c r="H136" s="149">
        <f>SUM(H135:H135)</f>
        <v>24.308943999999997</v>
      </c>
    </row>
    <row r="137" spans="2:11" s="1" customFormat="1" ht="22.5" customHeight="1">
      <c r="B137" s="39"/>
      <c r="C137" s="135">
        <f>C134+1</f>
        <v>14</v>
      </c>
      <c r="D137" s="135" t="s">
        <v>65</v>
      </c>
      <c r="E137" s="136" t="s">
        <v>845</v>
      </c>
      <c r="F137" s="137" t="s">
        <v>857</v>
      </c>
      <c r="G137" s="138" t="s">
        <v>101</v>
      </c>
      <c r="H137" s="139">
        <f>H140</f>
        <v>2.7063000000000001</v>
      </c>
      <c r="I137" s="90"/>
      <c r="J137" s="140">
        <f>H137*I137</f>
        <v>0</v>
      </c>
      <c r="K137" s="137"/>
    </row>
    <row r="138" spans="2:11" s="11" customFormat="1" ht="27">
      <c r="B138" s="141"/>
      <c r="D138" s="142" t="s">
        <v>95</v>
      </c>
      <c r="E138" s="143" t="s">
        <v>2</v>
      </c>
      <c r="F138" s="144" t="s">
        <v>955</v>
      </c>
      <c r="H138" s="145">
        <f>((2.2*2.68)*0.1)*2.25</f>
        <v>1.3266000000000002</v>
      </c>
    </row>
    <row r="139" spans="2:11" s="11" customFormat="1" ht="27">
      <c r="B139" s="141"/>
      <c r="D139" s="142" t="s">
        <v>95</v>
      </c>
      <c r="E139" s="143"/>
      <c r="F139" s="144" t="s">
        <v>956</v>
      </c>
      <c r="H139" s="145">
        <f>((0.67+2.62+0.5+4.02+0.5+0.41+0.83+0.67)*0.6*0.1)*2.25</f>
        <v>1.3796999999999999</v>
      </c>
    </row>
    <row r="140" spans="2:11" s="12" customFormat="1">
      <c r="B140" s="146"/>
      <c r="D140" s="142" t="s">
        <v>95</v>
      </c>
      <c r="E140" s="147" t="s">
        <v>2</v>
      </c>
      <c r="F140" s="148" t="s">
        <v>96</v>
      </c>
      <c r="H140" s="149">
        <f>SUM(H138:H139)</f>
        <v>2.7063000000000001</v>
      </c>
    </row>
    <row r="141" spans="2:11" s="1" customFormat="1" ht="22.5" customHeight="1">
      <c r="B141" s="39"/>
      <c r="C141" s="135">
        <f>C137+1</f>
        <v>15</v>
      </c>
      <c r="D141" s="135" t="s">
        <v>65</v>
      </c>
      <c r="E141" s="136" t="s">
        <v>845</v>
      </c>
      <c r="F141" s="137" t="s">
        <v>856</v>
      </c>
      <c r="G141" s="138" t="s">
        <v>101</v>
      </c>
      <c r="H141" s="139">
        <f>H143</f>
        <v>1.0300400000000001</v>
      </c>
      <c r="I141" s="90"/>
      <c r="J141" s="140">
        <f>H141*I141</f>
        <v>0</v>
      </c>
      <c r="K141" s="137"/>
    </row>
    <row r="142" spans="2:11" s="11" customFormat="1">
      <c r="B142" s="141"/>
      <c r="D142" s="142" t="s">
        <v>95</v>
      </c>
      <c r="E142" s="143" t="s">
        <v>2</v>
      </c>
      <c r="F142" s="144" t="s">
        <v>921</v>
      </c>
      <c r="H142" s="145">
        <f>(3.56+4.585+3.56)*0.88*0.1</f>
        <v>1.0300400000000001</v>
      </c>
    </row>
    <row r="143" spans="2:11" s="12" customFormat="1">
      <c r="B143" s="146"/>
      <c r="D143" s="142" t="s">
        <v>95</v>
      </c>
      <c r="E143" s="147" t="s">
        <v>2</v>
      </c>
      <c r="F143" s="148" t="s">
        <v>96</v>
      </c>
      <c r="H143" s="149">
        <f>SUM(H142:H142)</f>
        <v>1.0300400000000001</v>
      </c>
    </row>
    <row r="144" spans="2:11" s="1" customFormat="1" ht="22.5" customHeight="1">
      <c r="B144" s="39"/>
      <c r="C144" s="135">
        <f>C141+1</f>
        <v>16</v>
      </c>
      <c r="D144" s="135" t="s">
        <v>65</v>
      </c>
      <c r="E144" s="136" t="s">
        <v>613</v>
      </c>
      <c r="F144" s="137" t="s">
        <v>614</v>
      </c>
      <c r="G144" s="138" t="s">
        <v>105</v>
      </c>
      <c r="H144" s="139">
        <f>H146</f>
        <v>15.4506</v>
      </c>
      <c r="I144" s="90"/>
      <c r="J144" s="140">
        <f>ROUND(I144*H144,2)</f>
        <v>0</v>
      </c>
      <c r="K144" s="137"/>
    </row>
    <row r="145" spans="2:11" s="11" customFormat="1">
      <c r="B145" s="141"/>
      <c r="D145" s="142" t="s">
        <v>95</v>
      </c>
      <c r="E145" s="143" t="s">
        <v>2</v>
      </c>
      <c r="F145" s="144" t="s">
        <v>922</v>
      </c>
      <c r="H145" s="145">
        <f>(3.56+4.585+3.56)*0.88*1.5</f>
        <v>15.4506</v>
      </c>
    </row>
    <row r="146" spans="2:11" s="12" customFormat="1">
      <c r="B146" s="146"/>
      <c r="D146" s="142" t="s">
        <v>95</v>
      </c>
      <c r="E146" s="147" t="s">
        <v>2</v>
      </c>
      <c r="F146" s="148" t="s">
        <v>96</v>
      </c>
      <c r="H146" s="149">
        <f>SUM(H145:H145)</f>
        <v>15.4506</v>
      </c>
    </row>
    <row r="147" spans="2:11" s="1" customFormat="1" ht="22.5" customHeight="1">
      <c r="B147" s="39"/>
      <c r="C147" s="135">
        <f>C144+1</f>
        <v>17</v>
      </c>
      <c r="D147" s="135" t="s">
        <v>65</v>
      </c>
      <c r="E147" s="136" t="s">
        <v>615</v>
      </c>
      <c r="F147" s="137" t="s">
        <v>618</v>
      </c>
      <c r="G147" s="138" t="s">
        <v>105</v>
      </c>
      <c r="H147" s="139">
        <f>H149</f>
        <v>30.901199999999999</v>
      </c>
      <c r="I147" s="90"/>
      <c r="J147" s="140">
        <f>ROUND(I147*H147,2)</f>
        <v>0</v>
      </c>
      <c r="K147" s="137"/>
    </row>
    <row r="148" spans="2:11" s="11" customFormat="1">
      <c r="B148" s="141"/>
      <c r="D148" s="142" t="s">
        <v>95</v>
      </c>
      <c r="E148" s="143" t="s">
        <v>2</v>
      </c>
      <c r="F148" s="144" t="s">
        <v>913</v>
      </c>
      <c r="H148" s="145">
        <f>((3.56+4.585+3.56)*0.88*1.5)*2</f>
        <v>30.901199999999999</v>
      </c>
    </row>
    <row r="149" spans="2:11" s="12" customFormat="1">
      <c r="B149" s="146"/>
      <c r="D149" s="142" t="s">
        <v>95</v>
      </c>
      <c r="E149" s="147" t="s">
        <v>2</v>
      </c>
      <c r="F149" s="148" t="s">
        <v>96</v>
      </c>
      <c r="H149" s="149">
        <f>SUM(H148:H148)</f>
        <v>30.901199999999999</v>
      </c>
    </row>
    <row r="150" spans="2:11" s="1" customFormat="1" ht="22.5" customHeight="1">
      <c r="B150" s="39"/>
      <c r="C150" s="150">
        <f>C147+1</f>
        <v>18</v>
      </c>
      <c r="D150" s="150" t="s">
        <v>123</v>
      </c>
      <c r="E150" s="151" t="s">
        <v>616</v>
      </c>
      <c r="F150" s="152" t="s">
        <v>617</v>
      </c>
      <c r="G150" s="153" t="s">
        <v>105</v>
      </c>
      <c r="H150" s="154">
        <f>H152</f>
        <v>40.171559999999999</v>
      </c>
      <c r="I150" s="91"/>
      <c r="J150" s="155">
        <f>H150*I150</f>
        <v>0</v>
      </c>
      <c r="K150" s="152"/>
    </row>
    <row r="151" spans="2:11" s="11" customFormat="1">
      <c r="B151" s="141"/>
      <c r="D151" s="142" t="s">
        <v>95</v>
      </c>
      <c r="E151" s="143" t="s">
        <v>2</v>
      </c>
      <c r="F151" s="144" t="s">
        <v>914</v>
      </c>
      <c r="H151" s="145">
        <f>(((3.56+4.585+3.56)*0.88*1.5)*2)*1.3</f>
        <v>40.171559999999999</v>
      </c>
    </row>
    <row r="152" spans="2:11" s="12" customFormat="1">
      <c r="B152" s="146"/>
      <c r="D152" s="142" t="s">
        <v>95</v>
      </c>
      <c r="E152" s="147" t="s">
        <v>2</v>
      </c>
      <c r="F152" s="148" t="s">
        <v>96</v>
      </c>
      <c r="H152" s="149">
        <f>SUM(H151:H151)</f>
        <v>40.171559999999999</v>
      </c>
    </row>
    <row r="153" spans="2:11" s="1" customFormat="1" ht="22.5" customHeight="1">
      <c r="B153" s="39"/>
      <c r="C153" s="135">
        <f>C150+1</f>
        <v>19</v>
      </c>
      <c r="D153" s="135" t="s">
        <v>65</v>
      </c>
      <c r="E153" s="136" t="s">
        <v>620</v>
      </c>
      <c r="F153" s="137" t="s">
        <v>940</v>
      </c>
      <c r="G153" s="138" t="s">
        <v>155</v>
      </c>
      <c r="H153" s="139">
        <f>H155</f>
        <v>10.055</v>
      </c>
      <c r="I153" s="90"/>
      <c r="J153" s="140">
        <f>ROUND(I153*H153,2)</f>
        <v>0</v>
      </c>
      <c r="K153" s="137"/>
    </row>
    <row r="154" spans="2:11" s="11" customFormat="1" ht="27">
      <c r="B154" s="141"/>
      <c r="D154" s="142" t="s">
        <v>95</v>
      </c>
      <c r="E154" s="143" t="s">
        <v>2</v>
      </c>
      <c r="F154" s="144" t="s">
        <v>923</v>
      </c>
      <c r="H154" s="145">
        <f>((2.59+0.55)+(2.675+0.55*2)+(2.59+0.55))</f>
        <v>10.055</v>
      </c>
    </row>
    <row r="155" spans="2:11" s="12" customFormat="1">
      <c r="B155" s="146"/>
      <c r="D155" s="142" t="s">
        <v>95</v>
      </c>
      <c r="E155" s="147" t="s">
        <v>2</v>
      </c>
      <c r="F155" s="148" t="s">
        <v>96</v>
      </c>
      <c r="H155" s="149">
        <f>SUM(H154:H154)</f>
        <v>10.055</v>
      </c>
    </row>
    <row r="156" spans="2:11" s="1" customFormat="1" ht="22.5" customHeight="1">
      <c r="B156" s="39"/>
      <c r="C156" s="150">
        <f>C153+1</f>
        <v>20</v>
      </c>
      <c r="D156" s="150" t="s">
        <v>123</v>
      </c>
      <c r="E156" s="151" t="s">
        <v>619</v>
      </c>
      <c r="F156" s="152" t="s">
        <v>937</v>
      </c>
      <c r="G156" s="153" t="s">
        <v>155</v>
      </c>
      <c r="H156" s="154">
        <f>H158</f>
        <v>10.055</v>
      </c>
      <c r="I156" s="91"/>
      <c r="J156" s="155">
        <f>H156*I156</f>
        <v>0</v>
      </c>
      <c r="K156" s="152"/>
    </row>
    <row r="157" spans="2:11" s="11" customFormat="1" ht="27">
      <c r="B157" s="141"/>
      <c r="D157" s="142" t="s">
        <v>95</v>
      </c>
      <c r="E157" s="143" t="s">
        <v>2</v>
      </c>
      <c r="F157" s="144" t="s">
        <v>923</v>
      </c>
      <c r="H157" s="145">
        <f>((2.59+0.55)+(2.675+0.55*2)+(2.59+0.55))</f>
        <v>10.055</v>
      </c>
    </row>
    <row r="158" spans="2:11" s="12" customFormat="1">
      <c r="B158" s="146"/>
      <c r="D158" s="142" t="s">
        <v>95</v>
      </c>
      <c r="E158" s="147" t="s">
        <v>2</v>
      </c>
      <c r="F158" s="148" t="s">
        <v>96</v>
      </c>
      <c r="H158" s="149">
        <f>SUM(H157:H157)</f>
        <v>10.055</v>
      </c>
    </row>
    <row r="159" spans="2:11" s="1" customFormat="1" ht="22.5" customHeight="1">
      <c r="B159" s="39"/>
      <c r="C159" s="135">
        <f>C156+1</f>
        <v>21</v>
      </c>
      <c r="D159" s="135" t="s">
        <v>65</v>
      </c>
      <c r="E159" s="136" t="s">
        <v>931</v>
      </c>
      <c r="F159" s="137" t="s">
        <v>964</v>
      </c>
      <c r="G159" s="138" t="s">
        <v>155</v>
      </c>
      <c r="H159" s="139">
        <f>H161</f>
        <v>13.555</v>
      </c>
      <c r="I159" s="90"/>
      <c r="J159" s="140">
        <f>ROUND(I159*H159,2)</f>
        <v>0</v>
      </c>
      <c r="K159" s="137"/>
    </row>
    <row r="160" spans="2:11" s="11" customFormat="1" ht="27">
      <c r="B160" s="141"/>
      <c r="D160" s="142" t="s">
        <v>95</v>
      </c>
      <c r="E160" s="143" t="s">
        <v>2</v>
      </c>
      <c r="F160" s="144" t="s">
        <v>932</v>
      </c>
      <c r="H160" s="145">
        <f>((2.59+0.55)+(2.675+0.55*2)+(2.59+0.55)+(1.5+2))</f>
        <v>13.555</v>
      </c>
    </row>
    <row r="161" spans="2:11" s="12" customFormat="1">
      <c r="B161" s="146"/>
      <c r="D161" s="142" t="s">
        <v>95</v>
      </c>
      <c r="E161" s="147" t="s">
        <v>2</v>
      </c>
      <c r="F161" s="148" t="s">
        <v>96</v>
      </c>
      <c r="H161" s="149">
        <f>SUM(H160:H160)</f>
        <v>13.555</v>
      </c>
    </row>
    <row r="162" spans="2:11" s="1" customFormat="1" ht="22.5" customHeight="1">
      <c r="B162" s="39"/>
      <c r="C162" s="150">
        <f>C159+1</f>
        <v>22</v>
      </c>
      <c r="D162" s="150" t="s">
        <v>123</v>
      </c>
      <c r="E162" s="151" t="s">
        <v>933</v>
      </c>
      <c r="F162" s="152" t="s">
        <v>936</v>
      </c>
      <c r="G162" s="153" t="s">
        <v>265</v>
      </c>
      <c r="H162" s="154">
        <f>H164</f>
        <v>31.999999999999996</v>
      </c>
      <c r="I162" s="91"/>
      <c r="J162" s="155">
        <f>H162*I162</f>
        <v>0</v>
      </c>
      <c r="K162" s="152"/>
    </row>
    <row r="163" spans="2:11" s="11" customFormat="1" ht="27">
      <c r="B163" s="141"/>
      <c r="D163" s="142" t="s">
        <v>95</v>
      </c>
      <c r="E163" s="143" t="s">
        <v>2</v>
      </c>
      <c r="F163" s="144" t="s">
        <v>934</v>
      </c>
      <c r="H163" s="145">
        <f>(((2.59+0.55)+(2.675+0.55*2)+(2.59+0.55)+(1.5+2))*1.2)/0.5-0.532</f>
        <v>31.999999999999996</v>
      </c>
    </row>
    <row r="164" spans="2:11" s="12" customFormat="1">
      <c r="B164" s="146"/>
      <c r="D164" s="142" t="s">
        <v>95</v>
      </c>
      <c r="E164" s="147" t="s">
        <v>2</v>
      </c>
      <c r="F164" s="148" t="s">
        <v>96</v>
      </c>
      <c r="H164" s="149">
        <f>SUM(H163:H163)</f>
        <v>31.999999999999996</v>
      </c>
    </row>
    <row r="165" spans="2:11" s="1" customFormat="1" ht="22.5" customHeight="1">
      <c r="B165" s="39"/>
      <c r="C165" s="135">
        <f>C162+1</f>
        <v>23</v>
      </c>
      <c r="D165" s="135" t="s">
        <v>65</v>
      </c>
      <c r="E165" s="136" t="s">
        <v>620</v>
      </c>
      <c r="F165" s="137" t="s">
        <v>939</v>
      </c>
      <c r="G165" s="138" t="s">
        <v>155</v>
      </c>
      <c r="H165" s="139">
        <f>H167</f>
        <v>3.7</v>
      </c>
      <c r="I165" s="90"/>
      <c r="J165" s="140">
        <f>ROUND(I165*H165,2)</f>
        <v>0</v>
      </c>
      <c r="K165" s="137"/>
    </row>
    <row r="166" spans="2:11" s="11" customFormat="1">
      <c r="B166" s="141"/>
      <c r="D166" s="142" t="s">
        <v>95</v>
      </c>
      <c r="E166" s="143" t="s">
        <v>2</v>
      </c>
      <c r="F166" s="144" t="s">
        <v>935</v>
      </c>
      <c r="H166" s="145">
        <f>(1.5+2.2)</f>
        <v>3.7</v>
      </c>
    </row>
    <row r="167" spans="2:11" s="12" customFormat="1">
      <c r="B167" s="146"/>
      <c r="D167" s="142" t="s">
        <v>95</v>
      </c>
      <c r="E167" s="147" t="s">
        <v>2</v>
      </c>
      <c r="F167" s="148" t="s">
        <v>96</v>
      </c>
      <c r="H167" s="149">
        <f>SUM(H166:H166)</f>
        <v>3.7</v>
      </c>
    </row>
    <row r="168" spans="2:11" s="1" customFormat="1" ht="22.5" customHeight="1">
      <c r="B168" s="39"/>
      <c r="C168" s="150">
        <f>C165+1</f>
        <v>24</v>
      </c>
      <c r="D168" s="150" t="s">
        <v>123</v>
      </c>
      <c r="E168" s="151" t="s">
        <v>619</v>
      </c>
      <c r="F168" s="152" t="s">
        <v>938</v>
      </c>
      <c r="G168" s="153" t="s">
        <v>155</v>
      </c>
      <c r="H168" s="154">
        <f>H170</f>
        <v>3.7</v>
      </c>
      <c r="I168" s="91"/>
      <c r="J168" s="155">
        <f>H168*I168</f>
        <v>0</v>
      </c>
      <c r="K168" s="152"/>
    </row>
    <row r="169" spans="2:11" s="11" customFormat="1">
      <c r="B169" s="141"/>
      <c r="D169" s="142" t="s">
        <v>95</v>
      </c>
      <c r="E169" s="143" t="s">
        <v>2</v>
      </c>
      <c r="F169" s="144" t="s">
        <v>935</v>
      </c>
      <c r="H169" s="145">
        <f>(1.5+2.2)</f>
        <v>3.7</v>
      </c>
    </row>
    <row r="170" spans="2:11" s="12" customFormat="1">
      <c r="B170" s="146"/>
      <c r="D170" s="142" t="s">
        <v>95</v>
      </c>
      <c r="E170" s="147" t="s">
        <v>2</v>
      </c>
      <c r="F170" s="148" t="s">
        <v>96</v>
      </c>
      <c r="H170" s="149">
        <f>SUM(H169:H169)</f>
        <v>3.7</v>
      </c>
    </row>
    <row r="171" spans="2:11" s="1" customFormat="1" ht="22.5" customHeight="1">
      <c r="B171" s="39"/>
      <c r="C171" s="135">
        <f>C168+1</f>
        <v>25</v>
      </c>
      <c r="D171" s="135" t="s">
        <v>65</v>
      </c>
      <c r="E171" s="136" t="s">
        <v>941</v>
      </c>
      <c r="F171" s="137" t="s">
        <v>957</v>
      </c>
      <c r="G171" s="138" t="s">
        <v>105</v>
      </c>
      <c r="H171" s="139">
        <f>H173</f>
        <v>2.94</v>
      </c>
      <c r="I171" s="90"/>
      <c r="J171" s="140">
        <f>ROUND(I171*H171,2)</f>
        <v>0</v>
      </c>
      <c r="K171" s="137"/>
    </row>
    <row r="172" spans="2:11" s="11" customFormat="1">
      <c r="B172" s="141"/>
      <c r="D172" s="142" t="s">
        <v>95</v>
      </c>
      <c r="E172" s="143" t="s">
        <v>2</v>
      </c>
      <c r="F172" s="144" t="s">
        <v>960</v>
      </c>
      <c r="H172" s="145">
        <f>(1.4*2.1)</f>
        <v>2.94</v>
      </c>
    </row>
    <row r="173" spans="2:11" s="12" customFormat="1">
      <c r="B173" s="146"/>
      <c r="D173" s="142" t="s">
        <v>95</v>
      </c>
      <c r="E173" s="147" t="s">
        <v>2</v>
      </c>
      <c r="F173" s="148" t="s">
        <v>96</v>
      </c>
      <c r="H173" s="149">
        <f>SUM(H172:H172)</f>
        <v>2.94</v>
      </c>
    </row>
    <row r="174" spans="2:11" s="1" customFormat="1" ht="22.5" customHeight="1">
      <c r="B174" s="39"/>
      <c r="C174" s="150">
        <f>C171+1</f>
        <v>26</v>
      </c>
      <c r="D174" s="150" t="s">
        <v>123</v>
      </c>
      <c r="E174" s="151" t="s">
        <v>943</v>
      </c>
      <c r="F174" s="152" t="s">
        <v>942</v>
      </c>
      <c r="G174" s="153" t="s">
        <v>105</v>
      </c>
      <c r="H174" s="154">
        <f>H176</f>
        <v>3.528</v>
      </c>
      <c r="I174" s="91"/>
      <c r="J174" s="155">
        <f>H174*I174</f>
        <v>0</v>
      </c>
      <c r="K174" s="152"/>
    </row>
    <row r="175" spans="2:11" s="11" customFormat="1">
      <c r="B175" s="141"/>
      <c r="D175" s="142" t="s">
        <v>95</v>
      </c>
      <c r="E175" s="143" t="s">
        <v>2</v>
      </c>
      <c r="F175" s="144" t="s">
        <v>961</v>
      </c>
      <c r="H175" s="145">
        <f>(1.4*2.1)*1.2</f>
        <v>3.528</v>
      </c>
    </row>
    <row r="176" spans="2:11" s="12" customFormat="1">
      <c r="B176" s="146"/>
      <c r="D176" s="142" t="s">
        <v>95</v>
      </c>
      <c r="E176" s="147" t="s">
        <v>2</v>
      </c>
      <c r="F176" s="148" t="s">
        <v>96</v>
      </c>
      <c r="H176" s="149">
        <f>SUM(H175:H175)</f>
        <v>3.528</v>
      </c>
    </row>
    <row r="177" spans="2:11" s="1" customFormat="1" ht="22.5" customHeight="1">
      <c r="B177" s="39"/>
      <c r="C177" s="135">
        <f>C174+1</f>
        <v>27</v>
      </c>
      <c r="D177" s="135" t="s">
        <v>65</v>
      </c>
      <c r="E177" s="136" t="s">
        <v>958</v>
      </c>
      <c r="F177" s="137" t="s">
        <v>959</v>
      </c>
      <c r="G177" s="138" t="s">
        <v>105</v>
      </c>
      <c r="H177" s="139">
        <f>H181</f>
        <v>14.216249999999999</v>
      </c>
      <c r="I177" s="90"/>
      <c r="J177" s="140">
        <f>ROUND(I177*H177,2)</f>
        <v>0</v>
      </c>
      <c r="K177" s="137"/>
    </row>
    <row r="178" spans="2:11" s="11" customFormat="1" ht="27">
      <c r="B178" s="141"/>
      <c r="D178" s="142" t="s">
        <v>95</v>
      </c>
      <c r="E178" s="143" t="s">
        <v>2</v>
      </c>
      <c r="F178" s="144" t="s">
        <v>965</v>
      </c>
      <c r="H178" s="145">
        <f>((2.59+0.55)+(2.675+0.55*2)+(2.59+0.55)+(1.5+2))*0.75</f>
        <v>10.16625</v>
      </c>
    </row>
    <row r="179" spans="2:11" s="11" customFormat="1">
      <c r="B179" s="141"/>
      <c r="D179" s="142" t="s">
        <v>95</v>
      </c>
      <c r="E179" s="143" t="s">
        <v>2</v>
      </c>
      <c r="F179" s="144" t="s">
        <v>962</v>
      </c>
      <c r="H179" s="145">
        <f>(1.5+2.2)*0.3</f>
        <v>1.1100000000000001</v>
      </c>
    </row>
    <row r="180" spans="2:11" s="11" customFormat="1">
      <c r="B180" s="141"/>
      <c r="D180" s="142" t="s">
        <v>95</v>
      </c>
      <c r="E180" s="143" t="s">
        <v>2</v>
      </c>
      <c r="F180" s="144" t="s">
        <v>963</v>
      </c>
      <c r="H180" s="145">
        <f>(1.4*2.1)</f>
        <v>2.94</v>
      </c>
    </row>
    <row r="181" spans="2:11" s="12" customFormat="1">
      <c r="B181" s="146"/>
      <c r="D181" s="142" t="s">
        <v>95</v>
      </c>
      <c r="E181" s="147" t="s">
        <v>2</v>
      </c>
      <c r="F181" s="148" t="s">
        <v>96</v>
      </c>
      <c r="H181" s="149">
        <f>SUM(H178:H180)</f>
        <v>14.216249999999999</v>
      </c>
    </row>
    <row r="182" spans="2:11" s="1" customFormat="1" ht="22.5" customHeight="1">
      <c r="B182" s="39"/>
      <c r="C182" s="135">
        <f>C177+1</f>
        <v>28</v>
      </c>
      <c r="D182" s="135" t="s">
        <v>65</v>
      </c>
      <c r="E182" s="136" t="s">
        <v>622</v>
      </c>
      <c r="F182" s="137" t="s">
        <v>926</v>
      </c>
      <c r="G182" s="138" t="s">
        <v>105</v>
      </c>
      <c r="H182" s="139">
        <f>H184</f>
        <v>10.3004</v>
      </c>
      <c r="I182" s="90"/>
      <c r="J182" s="140">
        <f>ROUND(I182*H182,2)</f>
        <v>0</v>
      </c>
      <c r="K182" s="137"/>
    </row>
    <row r="183" spans="2:11" s="11" customFormat="1">
      <c r="B183" s="141"/>
      <c r="D183" s="142" t="s">
        <v>95</v>
      </c>
      <c r="E183" s="143" t="s">
        <v>2</v>
      </c>
      <c r="F183" s="144" t="s">
        <v>924</v>
      </c>
      <c r="H183" s="145">
        <f>(3.56+4.585+3.56)*0.88</f>
        <v>10.3004</v>
      </c>
    </row>
    <row r="184" spans="2:11" s="12" customFormat="1">
      <c r="B184" s="146"/>
      <c r="D184" s="142" t="s">
        <v>95</v>
      </c>
      <c r="E184" s="147" t="s">
        <v>2</v>
      </c>
      <c r="F184" s="148" t="s">
        <v>96</v>
      </c>
      <c r="H184" s="149">
        <f>SUM(H183:H183)</f>
        <v>10.3004</v>
      </c>
    </row>
    <row r="185" spans="2:11" s="1" customFormat="1" ht="22.5" customHeight="1">
      <c r="B185" s="39"/>
      <c r="C185" s="135">
        <f>C182+1</f>
        <v>29</v>
      </c>
      <c r="D185" s="135" t="s">
        <v>65</v>
      </c>
      <c r="E185" s="136" t="s">
        <v>625</v>
      </c>
      <c r="F185" s="137" t="s">
        <v>624</v>
      </c>
      <c r="G185" s="138" t="s">
        <v>105</v>
      </c>
      <c r="H185" s="139">
        <f>H187</f>
        <v>10.3004</v>
      </c>
      <c r="I185" s="90"/>
      <c r="J185" s="140">
        <f>ROUND(I185*H185,2)</f>
        <v>0</v>
      </c>
      <c r="K185" s="137"/>
    </row>
    <row r="186" spans="2:11" s="11" customFormat="1">
      <c r="B186" s="141"/>
      <c r="D186" s="142" t="s">
        <v>95</v>
      </c>
      <c r="E186" s="143" t="s">
        <v>2</v>
      </c>
      <c r="F186" s="144" t="s">
        <v>925</v>
      </c>
      <c r="H186" s="145">
        <f>(3.56+4.585+3.56)*0.88</f>
        <v>10.3004</v>
      </c>
    </row>
    <row r="187" spans="2:11" s="12" customFormat="1">
      <c r="B187" s="146"/>
      <c r="D187" s="142" t="s">
        <v>95</v>
      </c>
      <c r="E187" s="147" t="s">
        <v>2</v>
      </c>
      <c r="F187" s="148" t="s">
        <v>96</v>
      </c>
      <c r="H187" s="149">
        <f>SUM(H186:H186)</f>
        <v>10.3004</v>
      </c>
    </row>
    <row r="188" spans="2:11" s="1" customFormat="1" ht="22.5" customHeight="1">
      <c r="B188" s="39"/>
      <c r="C188" s="135">
        <f>C185+1</f>
        <v>30</v>
      </c>
      <c r="D188" s="135" t="s">
        <v>65</v>
      </c>
      <c r="E188" s="136" t="s">
        <v>623</v>
      </c>
      <c r="F188" s="137" t="s">
        <v>626</v>
      </c>
      <c r="G188" s="138" t="s">
        <v>105</v>
      </c>
      <c r="H188" s="139">
        <f>H190</f>
        <v>10.3004</v>
      </c>
      <c r="I188" s="90"/>
      <c r="J188" s="140">
        <f>ROUND(I188*H188,2)</f>
        <v>0</v>
      </c>
      <c r="K188" s="137"/>
    </row>
    <row r="189" spans="2:11" s="11" customFormat="1">
      <c r="B189" s="141"/>
      <c r="D189" s="142" t="s">
        <v>95</v>
      </c>
      <c r="E189" s="143" t="s">
        <v>2</v>
      </c>
      <c r="F189" s="144" t="s">
        <v>925</v>
      </c>
      <c r="H189" s="145">
        <f>(3.56+4.585+3.56)*0.88</f>
        <v>10.3004</v>
      </c>
    </row>
    <row r="190" spans="2:11" s="12" customFormat="1">
      <c r="B190" s="146"/>
      <c r="D190" s="142" t="s">
        <v>95</v>
      </c>
      <c r="E190" s="147" t="s">
        <v>2</v>
      </c>
      <c r="F190" s="148" t="s">
        <v>96</v>
      </c>
      <c r="H190" s="149">
        <f>SUM(H189:H189)</f>
        <v>10.3004</v>
      </c>
    </row>
    <row r="191" spans="2:11" s="1" customFormat="1" ht="22.5" customHeight="1">
      <c r="B191" s="39"/>
      <c r="C191" s="135">
        <f>C188+1</f>
        <v>31</v>
      </c>
      <c r="D191" s="135" t="s">
        <v>65</v>
      </c>
      <c r="E191" s="136" t="s">
        <v>633</v>
      </c>
      <c r="F191" s="137" t="s">
        <v>928</v>
      </c>
      <c r="G191" s="138" t="s">
        <v>105</v>
      </c>
      <c r="H191" s="139">
        <f>H193</f>
        <v>10.3004</v>
      </c>
      <c r="I191" s="90"/>
      <c r="J191" s="140">
        <f>ROUND(I191*H191,2)</f>
        <v>0</v>
      </c>
      <c r="K191" s="137"/>
    </row>
    <row r="192" spans="2:11" s="11" customFormat="1">
      <c r="B192" s="141"/>
      <c r="D192" s="142" t="s">
        <v>95</v>
      </c>
      <c r="E192" s="143" t="s">
        <v>2</v>
      </c>
      <c r="F192" s="144" t="s">
        <v>927</v>
      </c>
      <c r="H192" s="145">
        <f>(3.56+4.585+3.56)*0.88</f>
        <v>10.3004</v>
      </c>
    </row>
    <row r="193" spans="2:11" s="12" customFormat="1">
      <c r="B193" s="146"/>
      <c r="D193" s="142" t="s">
        <v>95</v>
      </c>
      <c r="E193" s="147" t="s">
        <v>2</v>
      </c>
      <c r="F193" s="148" t="s">
        <v>96</v>
      </c>
      <c r="H193" s="149">
        <f>SUM(H192:H192)</f>
        <v>10.3004</v>
      </c>
    </row>
    <row r="194" spans="2:11" s="1" customFormat="1" ht="22.5" customHeight="1">
      <c r="B194" s="39"/>
      <c r="C194" s="135">
        <f>C191+1</f>
        <v>32</v>
      </c>
      <c r="D194" s="135" t="s">
        <v>65</v>
      </c>
      <c r="E194" s="136" t="s">
        <v>627</v>
      </c>
      <c r="F194" s="137" t="s">
        <v>628</v>
      </c>
      <c r="G194" s="138" t="s">
        <v>105</v>
      </c>
      <c r="H194" s="139">
        <f>H196</f>
        <v>10.3004</v>
      </c>
      <c r="I194" s="90"/>
      <c r="J194" s="140">
        <f>ROUND(I194*H194,2)</f>
        <v>0</v>
      </c>
      <c r="K194" s="137"/>
    </row>
    <row r="195" spans="2:11" s="11" customFormat="1">
      <c r="B195" s="141"/>
      <c r="D195" s="142" t="s">
        <v>95</v>
      </c>
      <c r="E195" s="143" t="s">
        <v>2</v>
      </c>
      <c r="F195" s="144" t="s">
        <v>927</v>
      </c>
      <c r="H195" s="145">
        <f>(3.56+4.585+3.56)*0.88</f>
        <v>10.3004</v>
      </c>
    </row>
    <row r="196" spans="2:11" s="12" customFormat="1">
      <c r="B196" s="146"/>
      <c r="D196" s="142" t="s">
        <v>95</v>
      </c>
      <c r="E196" s="147" t="s">
        <v>2</v>
      </c>
      <c r="F196" s="148" t="s">
        <v>96</v>
      </c>
      <c r="H196" s="149">
        <f>SUM(H195:H195)</f>
        <v>10.3004</v>
      </c>
    </row>
    <row r="197" spans="2:11" s="1" customFormat="1" ht="22.5" customHeight="1">
      <c r="B197" s="39"/>
      <c r="C197" s="135">
        <f>C194+1</f>
        <v>33</v>
      </c>
      <c r="D197" s="135" t="s">
        <v>65</v>
      </c>
      <c r="E197" s="136" t="s">
        <v>631</v>
      </c>
      <c r="F197" s="137" t="s">
        <v>629</v>
      </c>
      <c r="G197" s="138" t="s">
        <v>105</v>
      </c>
      <c r="H197" s="139">
        <f>H199</f>
        <v>10.3004</v>
      </c>
      <c r="I197" s="90"/>
      <c r="J197" s="140">
        <f>ROUND(I197*H197,2)</f>
        <v>0</v>
      </c>
      <c r="K197" s="137"/>
    </row>
    <row r="198" spans="2:11" s="11" customFormat="1">
      <c r="B198" s="141"/>
      <c r="D198" s="142" t="s">
        <v>95</v>
      </c>
      <c r="E198" s="143" t="s">
        <v>2</v>
      </c>
      <c r="F198" s="144" t="s">
        <v>927</v>
      </c>
      <c r="H198" s="145">
        <f>(3.56+4.585+3.56)*0.88</f>
        <v>10.3004</v>
      </c>
    </row>
    <row r="199" spans="2:11" s="12" customFormat="1">
      <c r="B199" s="146"/>
      <c r="D199" s="142" t="s">
        <v>95</v>
      </c>
      <c r="E199" s="147" t="s">
        <v>2</v>
      </c>
      <c r="F199" s="148" t="s">
        <v>96</v>
      </c>
      <c r="H199" s="149">
        <f>SUM(H198:H198)</f>
        <v>10.3004</v>
      </c>
    </row>
    <row r="200" spans="2:11" s="1" customFormat="1" ht="22.5" customHeight="1">
      <c r="B200" s="39"/>
      <c r="C200" s="135">
        <f>C197+1</f>
        <v>34</v>
      </c>
      <c r="D200" s="135" t="s">
        <v>65</v>
      </c>
      <c r="E200" s="136" t="s">
        <v>632</v>
      </c>
      <c r="F200" s="137" t="s">
        <v>630</v>
      </c>
      <c r="G200" s="138" t="s">
        <v>155</v>
      </c>
      <c r="H200" s="139">
        <f>H202</f>
        <v>11.705</v>
      </c>
      <c r="I200" s="90"/>
      <c r="J200" s="140">
        <f>ROUND(I200*H200,2)</f>
        <v>0</v>
      </c>
      <c r="K200" s="137"/>
    </row>
    <row r="201" spans="2:11" s="11" customFormat="1">
      <c r="B201" s="141"/>
      <c r="D201" s="142" t="s">
        <v>95</v>
      </c>
      <c r="E201" s="143" t="s">
        <v>2</v>
      </c>
      <c r="F201" s="144" t="s">
        <v>929</v>
      </c>
      <c r="H201" s="145">
        <f>(3.56+4.585+3.56)</f>
        <v>11.705</v>
      </c>
    </row>
    <row r="202" spans="2:11" s="12" customFormat="1">
      <c r="B202" s="146"/>
      <c r="D202" s="142" t="s">
        <v>95</v>
      </c>
      <c r="E202" s="147" t="s">
        <v>2</v>
      </c>
      <c r="F202" s="148" t="s">
        <v>96</v>
      </c>
      <c r="H202" s="149">
        <f>SUM(H201:H201)</f>
        <v>11.705</v>
      </c>
    </row>
    <row r="203" spans="2:11" s="1" customFormat="1" ht="22.5" customHeight="1">
      <c r="B203" s="39"/>
      <c r="C203" s="135">
        <f>C200+1</f>
        <v>35</v>
      </c>
      <c r="D203" s="135" t="s">
        <v>65</v>
      </c>
      <c r="E203" s="136" t="s">
        <v>609</v>
      </c>
      <c r="F203" s="137" t="s">
        <v>205</v>
      </c>
      <c r="G203" s="138" t="s">
        <v>261</v>
      </c>
      <c r="H203" s="167"/>
      <c r="I203" s="140">
        <f>SUM(J147:J202)</f>
        <v>0</v>
      </c>
      <c r="J203" s="140">
        <f>H203%*I203</f>
        <v>0</v>
      </c>
      <c r="K203" s="137"/>
    </row>
    <row r="204" spans="2:11" s="11" customFormat="1">
      <c r="B204" s="141"/>
      <c r="D204" s="142" t="s">
        <v>95</v>
      </c>
      <c r="E204" s="143" t="s">
        <v>2</v>
      </c>
      <c r="F204" s="156" t="s">
        <v>966</v>
      </c>
      <c r="H204" s="145"/>
    </row>
    <row r="205" spans="2:11" s="1" customFormat="1" ht="6.95" customHeight="1">
      <c r="B205" s="51"/>
      <c r="C205" s="52"/>
      <c r="D205" s="52"/>
      <c r="E205" s="52"/>
      <c r="F205" s="52"/>
      <c r="G205" s="52"/>
      <c r="H205" s="52"/>
      <c r="I205" s="52"/>
      <c r="J205" s="52"/>
      <c r="K205" s="52"/>
    </row>
    <row r="211" spans="9:11">
      <c r="J211" s="161"/>
    </row>
    <row r="212" spans="9:11">
      <c r="J212" s="162"/>
    </row>
    <row r="214" spans="9:11">
      <c r="I214" s="87" t="s">
        <v>636</v>
      </c>
      <c r="J214" s="88">
        <f>SUM(J79:J203)/4</f>
        <v>0</v>
      </c>
      <c r="K214" s="89"/>
    </row>
    <row r="215" spans="9:11">
      <c r="I215" s="87" t="s">
        <v>637</v>
      </c>
      <c r="J215" s="88">
        <f>SUM(J57:J60)/3</f>
        <v>0</v>
      </c>
      <c r="K215" s="89"/>
    </row>
    <row r="216" spans="9:11">
      <c r="I216" s="87" t="s">
        <v>638</v>
      </c>
      <c r="J216" s="88">
        <f>J214-J215</f>
        <v>0</v>
      </c>
      <c r="K216" s="87" t="s">
        <v>639</v>
      </c>
    </row>
  </sheetData>
  <sheetProtection algorithmName="SHA-512" hashValue="sbUUWSgq6TH36Hw/fZIo+9mJg6pbKaEvpIEeUziQC5nhddW8sj84VXoS8lZIYi9hENYXd4c0GMKUYJFh+7zBDQ==" saltValue="xQ10zF0/e4tR+IYmRq3sZw==" spinCount="100000" sheet="1" objects="1" scenarios="1"/>
  <autoFilter ref="C78:K78" xr:uid="{00000000-0009-0000-0000-000003000000}"/>
  <mergeCells count="8">
    <mergeCell ref="E69:H69"/>
    <mergeCell ref="E71:H71"/>
    <mergeCell ref="G1:H1"/>
    <mergeCell ref="E7:H7"/>
    <mergeCell ref="E9:H9"/>
    <mergeCell ref="E25:H25"/>
    <mergeCell ref="E46:H46"/>
    <mergeCell ref="E48:H48"/>
  </mergeCells>
  <hyperlinks>
    <hyperlink ref="F1:G1" location="C2" tooltip="Krycí list soupisu" display="1) Krycí list soupisu" xr:uid="{00000000-0004-0000-0300-000000000000}"/>
    <hyperlink ref="G1:H1" location="C54" tooltip="Rekapitulace" display="2) Rekapitulace" xr:uid="{00000000-0004-0000-0300-000001000000}"/>
    <hyperlink ref="J1" location="C77" tooltip="Soupis prací" display="3) Soupis prací" xr:uid="{00000000-0004-0000-0300-000002000000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46D89-B3D5-4A58-9837-135FBC2D0933}">
  <sheetPr>
    <pageSetUpPr fitToPage="1"/>
  </sheetPr>
  <dimension ref="A1:O130"/>
  <sheetViews>
    <sheetView showGridLines="0" view="pageBreakPreview" topLeftCell="B1" zoomScaleNormal="100" zoomScaleSheetLayoutView="100" workbookViewId="0">
      <pane ySplit="1" topLeftCell="A95" activePane="bottomLeft" state="frozen"/>
      <selection activeCell="P8" sqref="P8"/>
      <selection pane="bottomLeft" activeCell="I102" sqref="I102"/>
    </sheetView>
  </sheetViews>
  <sheetFormatPr defaultRowHeight="13.5"/>
  <cols>
    <col min="1" max="1" width="8.33203125" hidden="1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4.5" customWidth="1"/>
    <col min="10" max="10" width="23.5" customWidth="1"/>
    <col min="11" max="11" width="15.5" customWidth="1"/>
    <col min="13" max="26" width="0" hidden="1" customWidth="1"/>
  </cols>
  <sheetData>
    <row r="1" spans="1:15" ht="21.75" hidden="1" customHeight="1">
      <c r="A1" s="15"/>
      <c r="B1" s="19"/>
      <c r="C1" s="19"/>
      <c r="D1" s="20" t="s">
        <v>1</v>
      </c>
      <c r="E1" s="19"/>
      <c r="F1" s="18" t="s">
        <v>308</v>
      </c>
      <c r="G1" s="424" t="s">
        <v>309</v>
      </c>
      <c r="H1" s="424"/>
      <c r="I1" s="19"/>
      <c r="J1" s="18" t="s">
        <v>310</v>
      </c>
      <c r="K1" s="20" t="s">
        <v>45</v>
      </c>
    </row>
    <row r="2" spans="1:15" ht="36.950000000000003" hidden="1" customHeight="1"/>
    <row r="3" spans="1:15" ht="6.95" customHeight="1">
      <c r="B3" s="27"/>
      <c r="C3" s="28"/>
      <c r="D3" s="28"/>
      <c r="E3" s="28"/>
      <c r="F3" s="28"/>
      <c r="G3" s="28"/>
      <c r="H3" s="28"/>
      <c r="I3" s="28"/>
      <c r="J3" s="28"/>
      <c r="K3" s="29"/>
    </row>
    <row r="4" spans="1:15" ht="36.950000000000003" customHeight="1">
      <c r="B4" s="30"/>
      <c r="D4" s="31" t="s">
        <v>46</v>
      </c>
      <c r="K4" s="32"/>
      <c r="M4" s="302"/>
      <c r="O4" s="302"/>
    </row>
    <row r="5" spans="1:15" ht="6.95" customHeight="1">
      <c r="B5" s="30"/>
      <c r="K5" s="32"/>
    </row>
    <row r="6" spans="1:15" ht="15">
      <c r="B6" s="30"/>
      <c r="D6" s="35" t="s">
        <v>5</v>
      </c>
      <c r="K6" s="32"/>
    </row>
    <row r="7" spans="1:15" ht="22.5" customHeight="1">
      <c r="B7" s="30"/>
      <c r="E7" s="423" t="str">
        <f>'Rekapitulace stavby'!K6</f>
        <v>Realizace výtahu a rekonstrukce navazujících prostor interiéru budovy Městského úřadu Smržovka</v>
      </c>
      <c r="F7" s="370"/>
      <c r="G7" s="370"/>
      <c r="H7" s="370"/>
      <c r="K7" s="32"/>
    </row>
    <row r="8" spans="1:15" s="1" customFormat="1" ht="15">
      <c r="B8" s="39"/>
      <c r="D8" s="35" t="s">
        <v>47</v>
      </c>
      <c r="K8" s="42"/>
    </row>
    <row r="9" spans="1:15" s="1" customFormat="1" ht="36.950000000000003" customHeight="1">
      <c r="B9" s="39"/>
      <c r="E9" s="382" t="s">
        <v>899</v>
      </c>
      <c r="F9" s="375"/>
      <c r="G9" s="375"/>
      <c r="H9" s="375"/>
      <c r="K9" s="42"/>
    </row>
    <row r="10" spans="1:15" s="1" customFormat="1">
      <c r="B10" s="39"/>
      <c r="K10" s="42"/>
    </row>
    <row r="11" spans="1:15" s="1" customFormat="1" ht="14.45" customHeight="1">
      <c r="B11" s="39"/>
      <c r="D11" s="35" t="s">
        <v>6</v>
      </c>
      <c r="F11" s="36" t="s">
        <v>7</v>
      </c>
      <c r="I11" s="35" t="s">
        <v>8</v>
      </c>
      <c r="J11" s="36" t="s">
        <v>2</v>
      </c>
      <c r="K11" s="42"/>
    </row>
    <row r="12" spans="1:15" s="1" customFormat="1" ht="14.45" customHeight="1">
      <c r="B12" s="39"/>
      <c r="D12" s="35" t="s">
        <v>10</v>
      </c>
      <c r="F12" s="36" t="str">
        <f>'Rekapitulace stavby'!L45</f>
        <v>č.p. 600, st.p.č. 1/1, k.ú. Smržovka [751324]</v>
      </c>
      <c r="I12" s="35" t="s">
        <v>11</v>
      </c>
      <c r="J12" s="92">
        <f>'Rekapitulace stavby'!AN8</f>
        <v>45743</v>
      </c>
      <c r="K12" s="42"/>
    </row>
    <row r="13" spans="1:15" s="1" customFormat="1" ht="10.9" customHeight="1">
      <c r="B13" s="39"/>
      <c r="K13" s="42"/>
    </row>
    <row r="14" spans="1:15" s="1" customFormat="1" ht="14.45" customHeight="1">
      <c r="B14" s="39"/>
      <c r="D14" s="35" t="s">
        <v>12</v>
      </c>
      <c r="I14" s="35" t="s">
        <v>13</v>
      </c>
      <c r="J14" s="36" t="str">
        <f>'Rekapitulace stavby'!AN10</f>
        <v>002 62 579</v>
      </c>
      <c r="K14" s="42"/>
    </row>
    <row r="15" spans="1:15" s="1" customFormat="1" ht="18" customHeight="1">
      <c r="B15" s="39"/>
      <c r="E15" s="36" t="str">
        <f>'Rekapitulace stavby'!E11</f>
        <v>Město Smržovka, nám. T.G.Masaryka č.p. 600, Smržovka, PSČ 46851</v>
      </c>
      <c r="I15" s="35" t="s">
        <v>14</v>
      </c>
      <c r="J15" s="36" t="str">
        <f>'Rekapitulace stavby'!AN11</f>
        <v>CZ00262579</v>
      </c>
      <c r="K15" s="42"/>
    </row>
    <row r="16" spans="1:15" s="1" customFormat="1" ht="6.95" customHeight="1">
      <c r="B16" s="39"/>
      <c r="K16" s="42"/>
    </row>
    <row r="17" spans="2:11" s="1" customFormat="1" ht="14.45" customHeight="1">
      <c r="B17" s="39"/>
      <c r="D17" s="35" t="s">
        <v>15</v>
      </c>
      <c r="I17" s="35" t="s">
        <v>13</v>
      </c>
      <c r="J17" s="36" t="str">
        <f>IF('Rekapitulace stavby'!AN13="Vyplň údaj","",IF('Rekapitulace stavby'!AN13="","",'Rekapitulace stavby'!AN13))</f>
        <v/>
      </c>
      <c r="K17" s="42"/>
    </row>
    <row r="18" spans="2:11" s="1" customFormat="1" ht="18" customHeight="1">
      <c r="B18" s="39"/>
      <c r="E18" s="36" t="str">
        <f>IF('Rekapitulace stavby'!E14="Vyplň údaj","",IF('Rekapitulace stavby'!E14="","",'Rekapitulace stavby'!E14))</f>
        <v xml:space="preserve"> </v>
      </c>
      <c r="I18" s="35" t="s">
        <v>14</v>
      </c>
      <c r="J18" s="36" t="str">
        <f>IF('Rekapitulace stavby'!AN14="Vyplň údaj","",IF('Rekapitulace stavby'!AN14="","",'Rekapitulace stavby'!AN14))</f>
        <v/>
      </c>
      <c r="K18" s="42"/>
    </row>
    <row r="19" spans="2:11" s="1" customFormat="1" ht="6.95" customHeight="1">
      <c r="B19" s="39"/>
      <c r="K19" s="42"/>
    </row>
    <row r="20" spans="2:11" s="1" customFormat="1" ht="14.45" customHeight="1">
      <c r="B20" s="39"/>
      <c r="D20" s="35" t="s">
        <v>17</v>
      </c>
      <c r="I20" s="35" t="s">
        <v>13</v>
      </c>
      <c r="J20" s="36" t="str">
        <f>'Rekapitulace stavby'!AN16</f>
        <v>120 45 357</v>
      </c>
      <c r="K20" s="42"/>
    </row>
    <row r="21" spans="2:11" s="1" customFormat="1" ht="18" customHeight="1">
      <c r="B21" s="39"/>
      <c r="E21" s="36" t="str">
        <f>'Rekapitulace stavby'!E17</f>
        <v>LHOTA - STAVITELSTVÍ</v>
      </c>
      <c r="I21" s="35" t="s">
        <v>14</v>
      </c>
      <c r="J21" s="36" t="s">
        <v>2</v>
      </c>
      <c r="K21" s="42"/>
    </row>
    <row r="22" spans="2:11" s="1" customFormat="1" ht="15">
      <c r="B22" s="39"/>
      <c r="E22" s="36" t="str">
        <f>'Rekapitulace stavby'!E18</f>
        <v>sdružení osob Bohumil Lhota a Ing. Vít Lhota, sídlo: Zásada 311, PSČ 46825</v>
      </c>
      <c r="I22" s="35"/>
      <c r="J22" s="36"/>
      <c r="K22" s="42"/>
    </row>
    <row r="23" spans="2:11" s="1" customFormat="1" ht="15">
      <c r="B23" s="39"/>
      <c r="E23" s="299" t="str">
        <f>'Rekapitulace stavby'!E19</f>
        <v>ateliér: Smetanova 1809/82, Jablonec nad Nisou, PSČ 46601</v>
      </c>
      <c r="K23" s="42"/>
    </row>
    <row r="24" spans="2:11" s="1" customFormat="1" ht="14.45" customHeight="1">
      <c r="B24" s="39"/>
      <c r="D24" s="35" t="s">
        <v>18</v>
      </c>
      <c r="K24" s="42"/>
    </row>
    <row r="25" spans="2:11" s="6" customFormat="1" ht="22.5" customHeight="1">
      <c r="B25" s="93"/>
      <c r="E25" s="371" t="str">
        <f>'Rekapitulace stavby'!E21:AN21</f>
        <v>Provedeno na základě předložené dokumentace "DSJ".</v>
      </c>
      <c r="F25" s="427"/>
      <c r="G25" s="427"/>
      <c r="H25" s="427"/>
      <c r="K25" s="94"/>
    </row>
    <row r="26" spans="2:11" s="1" customFormat="1" ht="6.95" customHeight="1">
      <c r="B26" s="39"/>
      <c r="K26" s="42"/>
    </row>
    <row r="27" spans="2:11" s="1" customFormat="1" ht="6.95" customHeight="1">
      <c r="B27" s="39"/>
      <c r="D27" s="61"/>
      <c r="E27" s="61"/>
      <c r="F27" s="61"/>
      <c r="G27" s="61"/>
      <c r="H27" s="61"/>
      <c r="I27" s="61"/>
      <c r="J27" s="61"/>
      <c r="K27" s="95"/>
    </row>
    <row r="28" spans="2:11" s="1" customFormat="1" ht="25.35" customHeight="1">
      <c r="B28" s="39"/>
      <c r="D28" s="96" t="s">
        <v>19</v>
      </c>
      <c r="J28" s="97">
        <f>ROUND(J79,2)</f>
        <v>0</v>
      </c>
      <c r="K28" s="42"/>
    </row>
    <row r="29" spans="2:11" s="1" customFormat="1" ht="6.95" customHeight="1">
      <c r="B29" s="39"/>
      <c r="D29" s="61"/>
      <c r="E29" s="61"/>
      <c r="F29" s="61"/>
      <c r="G29" s="61"/>
      <c r="H29" s="61"/>
      <c r="I29" s="61"/>
      <c r="J29" s="61"/>
      <c r="K29" s="95"/>
    </row>
    <row r="30" spans="2:11" s="1" customFormat="1" ht="14.45" customHeight="1">
      <c r="B30" s="39"/>
      <c r="F30" s="98" t="s">
        <v>21</v>
      </c>
      <c r="I30" s="98" t="s">
        <v>20</v>
      </c>
      <c r="J30" s="98" t="s">
        <v>22</v>
      </c>
      <c r="K30" s="42"/>
    </row>
    <row r="31" spans="2:11" s="1" customFormat="1" ht="14.45" customHeight="1">
      <c r="B31" s="39"/>
      <c r="D31" s="44" t="s">
        <v>23</v>
      </c>
      <c r="E31" s="44" t="s">
        <v>24</v>
      </c>
      <c r="F31" s="99">
        <f>ROUND(SUM(J28), 2)</f>
        <v>0</v>
      </c>
      <c r="I31" s="100">
        <v>0.21</v>
      </c>
      <c r="J31" s="99">
        <f>ROUND(ROUND((SUM(F31)), 2)*I31, 2)</f>
        <v>0</v>
      </c>
      <c r="K31" s="42"/>
    </row>
    <row r="32" spans="2:11" s="1" customFormat="1" ht="14.45" customHeight="1">
      <c r="B32" s="39"/>
      <c r="E32" s="44" t="s">
        <v>25</v>
      </c>
      <c r="F32" s="99">
        <v>0</v>
      </c>
      <c r="I32" s="100">
        <v>0.15</v>
      </c>
      <c r="J32" s="99">
        <f>ROUND(ROUND((SUM(F32)), 2)*I32, 2)</f>
        <v>0</v>
      </c>
      <c r="K32" s="42"/>
    </row>
    <row r="33" spans="2:11" s="1" customFormat="1" ht="14.45" hidden="1" customHeight="1">
      <c r="B33" s="39"/>
      <c r="E33" s="44" t="s">
        <v>26</v>
      </c>
      <c r="F33" s="99" t="e">
        <f>ROUND(SUM(#REF!), 2)</f>
        <v>#REF!</v>
      </c>
      <c r="I33" s="100">
        <v>0.21</v>
      </c>
      <c r="J33" s="99">
        <v>0</v>
      </c>
      <c r="K33" s="42"/>
    </row>
    <row r="34" spans="2:11" s="1" customFormat="1" ht="14.45" hidden="1" customHeight="1">
      <c r="B34" s="39"/>
      <c r="E34" s="44" t="s">
        <v>27</v>
      </c>
      <c r="F34" s="99" t="e">
        <f>ROUND(SUM(#REF!), 2)</f>
        <v>#REF!</v>
      </c>
      <c r="I34" s="100">
        <v>0.15</v>
      </c>
      <c r="J34" s="99">
        <v>0</v>
      </c>
      <c r="K34" s="42"/>
    </row>
    <row r="35" spans="2:11" s="1" customFormat="1" ht="14.45" hidden="1" customHeight="1">
      <c r="B35" s="39"/>
      <c r="E35" s="44" t="s">
        <v>28</v>
      </c>
      <c r="F35" s="99" t="e">
        <f>ROUND(SUM(#REF!), 2)</f>
        <v>#REF!</v>
      </c>
      <c r="I35" s="100">
        <v>0</v>
      </c>
      <c r="J35" s="99">
        <v>0</v>
      </c>
      <c r="K35" s="42"/>
    </row>
    <row r="36" spans="2:11" s="1" customFormat="1" ht="6.95" customHeight="1">
      <c r="B36" s="39"/>
      <c r="K36" s="42"/>
    </row>
    <row r="37" spans="2:11" s="1" customFormat="1" ht="25.35" customHeight="1">
      <c r="B37" s="39"/>
      <c r="C37" s="101"/>
      <c r="D37" s="102" t="s">
        <v>29</v>
      </c>
      <c r="E37" s="62"/>
      <c r="F37" s="62"/>
      <c r="G37" s="103" t="s">
        <v>30</v>
      </c>
      <c r="H37" s="104" t="s">
        <v>31</v>
      </c>
      <c r="I37" s="62"/>
      <c r="J37" s="105">
        <f>SUM(J28:J35)</f>
        <v>0</v>
      </c>
      <c r="K37" s="106"/>
    </row>
    <row r="38" spans="2:11" s="1" customFormat="1" ht="14.45" customHeight="1">
      <c r="B38" s="51"/>
      <c r="C38" s="52"/>
      <c r="D38" s="52"/>
      <c r="E38" s="52"/>
      <c r="F38" s="52"/>
      <c r="G38" s="52"/>
      <c r="H38" s="52"/>
      <c r="I38" s="52"/>
      <c r="J38" s="52"/>
      <c r="K38" s="53"/>
    </row>
    <row r="42" spans="2:11" s="1" customFormat="1" ht="6.95" customHeight="1">
      <c r="B42" s="54"/>
      <c r="C42" s="55"/>
      <c r="D42" s="55"/>
      <c r="E42" s="55"/>
      <c r="F42" s="55"/>
      <c r="G42" s="55"/>
      <c r="H42" s="55"/>
      <c r="I42" s="55"/>
      <c r="J42" s="55"/>
      <c r="K42" s="107"/>
    </row>
    <row r="43" spans="2:11" s="1" customFormat="1" ht="36.950000000000003" customHeight="1">
      <c r="B43" s="39"/>
      <c r="C43" s="31" t="s">
        <v>48</v>
      </c>
      <c r="K43" s="42"/>
    </row>
    <row r="44" spans="2:11" s="1" customFormat="1" ht="6.95" customHeight="1">
      <c r="B44" s="39"/>
      <c r="K44" s="42"/>
    </row>
    <row r="45" spans="2:11" s="1" customFormat="1" ht="14.45" customHeight="1">
      <c r="B45" s="39"/>
      <c r="C45" s="35" t="s">
        <v>5</v>
      </c>
      <c r="K45" s="42"/>
    </row>
    <row r="46" spans="2:11" s="1" customFormat="1" ht="22.5" customHeight="1">
      <c r="B46" s="39"/>
      <c r="E46" s="423" t="str">
        <f>E7</f>
        <v>Realizace výtahu a rekonstrukce navazujících prostor interiéru budovy Městského úřadu Smržovka</v>
      </c>
      <c r="F46" s="375"/>
      <c r="G46" s="375"/>
      <c r="H46" s="375"/>
      <c r="K46" s="42"/>
    </row>
    <row r="47" spans="2:11" s="1" customFormat="1" ht="14.45" customHeight="1">
      <c r="B47" s="39"/>
      <c r="C47" s="35" t="s">
        <v>47</v>
      </c>
      <c r="K47" s="42"/>
    </row>
    <row r="48" spans="2:11" s="1" customFormat="1" ht="23.25" customHeight="1">
      <c r="B48" s="39"/>
      <c r="E48" s="382" t="str">
        <f>E9</f>
        <v>SO 04 - Sadové a terénní úpravy</v>
      </c>
      <c r="F48" s="375"/>
      <c r="G48" s="375"/>
      <c r="H48" s="375"/>
      <c r="K48" s="42"/>
    </row>
    <row r="49" spans="2:11" s="1" customFormat="1" ht="6.95" customHeight="1">
      <c r="B49" s="39"/>
      <c r="K49" s="42"/>
    </row>
    <row r="50" spans="2:11" s="1" customFormat="1" ht="18" customHeight="1">
      <c r="B50" s="39"/>
      <c r="C50" s="35" t="s">
        <v>10</v>
      </c>
      <c r="F50" s="36" t="str">
        <f>F12</f>
        <v>č.p. 600, st.p.č. 1/1, k.ú. Smržovka [751324]</v>
      </c>
      <c r="I50" s="35" t="s">
        <v>11</v>
      </c>
      <c r="J50" s="92">
        <f>IF(J12="","",J12)</f>
        <v>45743</v>
      </c>
      <c r="K50" s="42"/>
    </row>
    <row r="51" spans="2:11" s="1" customFormat="1" ht="6.95" customHeight="1">
      <c r="B51" s="39"/>
      <c r="K51" s="42"/>
    </row>
    <row r="52" spans="2:11" s="1" customFormat="1" ht="15">
      <c r="B52" s="39"/>
      <c r="C52" s="35" t="s">
        <v>12</v>
      </c>
      <c r="F52" s="36" t="str">
        <f>E15</f>
        <v>Město Smržovka, nám. T.G.Masaryka č.p. 600, Smržovka, PSČ 46851</v>
      </c>
      <c r="I52" s="35" t="s">
        <v>17</v>
      </c>
      <c r="J52" s="36" t="str">
        <f>E21</f>
        <v>LHOTA - STAVITELSTVÍ</v>
      </c>
      <c r="K52" s="42"/>
    </row>
    <row r="53" spans="2:11" s="1" customFormat="1" ht="14.45" customHeight="1">
      <c r="B53" s="39"/>
      <c r="C53" s="35" t="s">
        <v>15</v>
      </c>
      <c r="F53" s="36" t="str">
        <f>IF(E18="","",E18)</f>
        <v xml:space="preserve"> </v>
      </c>
      <c r="K53" s="42"/>
    </row>
    <row r="54" spans="2:11" s="1" customFormat="1" ht="10.35" customHeight="1">
      <c r="B54" s="39"/>
      <c r="K54" s="42"/>
    </row>
    <row r="55" spans="2:11" s="1" customFormat="1" ht="29.25" customHeight="1">
      <c r="B55" s="39"/>
      <c r="C55" s="108" t="s">
        <v>49</v>
      </c>
      <c r="D55" s="101"/>
      <c r="E55" s="101"/>
      <c r="F55" s="101"/>
      <c r="G55" s="101"/>
      <c r="H55" s="101"/>
      <c r="I55" s="101"/>
      <c r="J55" s="109" t="s">
        <v>50</v>
      </c>
      <c r="K55" s="110"/>
    </row>
    <row r="56" spans="2:11" s="1" customFormat="1" ht="10.35" customHeight="1">
      <c r="B56" s="39"/>
      <c r="K56" s="42"/>
    </row>
    <row r="57" spans="2:11" s="1" customFormat="1" ht="29.25" customHeight="1">
      <c r="B57" s="39"/>
      <c r="C57" s="111" t="s">
        <v>51</v>
      </c>
      <c r="J57" s="97">
        <f>J79</f>
        <v>0</v>
      </c>
      <c r="K57" s="42"/>
    </row>
    <row r="58" spans="2:11" s="7" customFormat="1" ht="24.95" customHeight="1">
      <c r="B58" s="112"/>
      <c r="D58" s="113" t="s">
        <v>52</v>
      </c>
      <c r="E58" s="114"/>
      <c r="F58" s="114"/>
      <c r="G58" s="114"/>
      <c r="H58" s="114"/>
      <c r="I58" s="114"/>
      <c r="J58" s="115">
        <f>J80</f>
        <v>0</v>
      </c>
      <c r="K58" s="116"/>
    </row>
    <row r="59" spans="2:11" s="8" customFormat="1" ht="19.899999999999999" customHeight="1">
      <c r="B59" s="117"/>
      <c r="D59" s="118" t="s">
        <v>53</v>
      </c>
      <c r="E59" s="119"/>
      <c r="F59" s="119"/>
      <c r="G59" s="119"/>
      <c r="H59" s="119"/>
      <c r="I59" s="119"/>
      <c r="J59" s="120">
        <f>J81</f>
        <v>0</v>
      </c>
      <c r="K59" s="121"/>
    </row>
    <row r="60" spans="2:11" s="1" customFormat="1" ht="21.75" customHeight="1">
      <c r="B60" s="39"/>
      <c r="K60" s="42"/>
    </row>
    <row r="61" spans="2:11" s="1" customFormat="1" ht="6.95" customHeight="1">
      <c r="B61" s="51"/>
      <c r="C61" s="52"/>
      <c r="D61" s="52"/>
      <c r="E61" s="52"/>
      <c r="F61" s="52"/>
      <c r="G61" s="52"/>
      <c r="H61" s="52"/>
      <c r="I61" s="52"/>
      <c r="J61" s="52"/>
      <c r="K61" s="53"/>
    </row>
    <row r="65" spans="2:11" s="1" customFormat="1" ht="6.95" customHeight="1">
      <c r="B65" s="54"/>
      <c r="C65" s="55"/>
      <c r="D65" s="55"/>
      <c r="E65" s="55"/>
      <c r="F65" s="55"/>
      <c r="G65" s="55"/>
      <c r="H65" s="55"/>
      <c r="I65" s="55"/>
      <c r="J65" s="55"/>
      <c r="K65" s="55"/>
    </row>
    <row r="66" spans="2:11" s="1" customFormat="1" ht="36.950000000000003" customHeight="1">
      <c r="B66" s="39"/>
      <c r="C66" s="31" t="s">
        <v>54</v>
      </c>
    </row>
    <row r="67" spans="2:11" s="1" customFormat="1" ht="6.95" customHeight="1">
      <c r="B67" s="39"/>
    </row>
    <row r="68" spans="2:11" s="1" customFormat="1" ht="14.45" customHeight="1">
      <c r="B68" s="39"/>
      <c r="C68" s="35" t="s">
        <v>5</v>
      </c>
    </row>
    <row r="69" spans="2:11" s="1" customFormat="1" ht="22.5" customHeight="1">
      <c r="B69" s="39"/>
      <c r="E69" s="423" t="str">
        <f>E7</f>
        <v>Realizace výtahu a rekonstrukce navazujících prostor interiéru budovy Městského úřadu Smržovka</v>
      </c>
      <c r="F69" s="375"/>
      <c r="G69" s="375"/>
      <c r="H69" s="375"/>
    </row>
    <row r="70" spans="2:11" s="1" customFormat="1" ht="14.45" customHeight="1">
      <c r="B70" s="39"/>
      <c r="C70" s="35" t="s">
        <v>47</v>
      </c>
    </row>
    <row r="71" spans="2:11" s="1" customFormat="1" ht="23.25" customHeight="1">
      <c r="B71" s="39"/>
      <c r="E71" s="382" t="str">
        <f>E9</f>
        <v>SO 04 - Sadové a terénní úpravy</v>
      </c>
      <c r="F71" s="375"/>
      <c r="G71" s="375"/>
      <c r="H71" s="375"/>
    </row>
    <row r="72" spans="2:11" s="1" customFormat="1" ht="6.95" customHeight="1">
      <c r="B72" s="39"/>
    </row>
    <row r="73" spans="2:11" s="1" customFormat="1" ht="18" customHeight="1">
      <c r="B73" s="39"/>
      <c r="C73" s="35" t="s">
        <v>10</v>
      </c>
      <c r="F73" s="36" t="str">
        <f>F12</f>
        <v>č.p. 600, st.p.č. 1/1, k.ú. Smržovka [751324]</v>
      </c>
      <c r="I73" s="35" t="s">
        <v>11</v>
      </c>
      <c r="J73" s="92">
        <f>IF(J12="","",J12)</f>
        <v>45743</v>
      </c>
    </row>
    <row r="74" spans="2:11" s="1" customFormat="1" ht="6.95" customHeight="1">
      <c r="B74" s="39"/>
    </row>
    <row r="75" spans="2:11" s="1" customFormat="1" ht="15">
      <c r="B75" s="39"/>
      <c r="C75" s="35" t="s">
        <v>12</v>
      </c>
      <c r="F75" s="36" t="str">
        <f>E15</f>
        <v>Město Smržovka, nám. T.G.Masaryka č.p. 600, Smržovka, PSČ 46851</v>
      </c>
      <c r="I75" s="35" t="s">
        <v>17</v>
      </c>
      <c r="J75" s="36" t="str">
        <f>E21</f>
        <v>LHOTA - STAVITELSTVÍ</v>
      </c>
    </row>
    <row r="76" spans="2:11" s="1" customFormat="1" ht="14.45" customHeight="1">
      <c r="B76" s="39"/>
      <c r="C76" s="35" t="s">
        <v>15</v>
      </c>
      <c r="F76" s="36" t="str">
        <f>IF(E18="","",E18)</f>
        <v xml:space="preserve"> </v>
      </c>
    </row>
    <row r="77" spans="2:11" s="1" customFormat="1" ht="10.35" customHeight="1">
      <c r="B77" s="39"/>
    </row>
    <row r="78" spans="2:11" s="9" customFormat="1" ht="29.25" customHeight="1">
      <c r="B78" s="122"/>
      <c r="C78" s="123" t="s">
        <v>55</v>
      </c>
      <c r="D78" s="124" t="s">
        <v>37</v>
      </c>
      <c r="E78" s="124" t="s">
        <v>33</v>
      </c>
      <c r="F78" s="124" t="s">
        <v>56</v>
      </c>
      <c r="G78" s="124" t="s">
        <v>57</v>
      </c>
      <c r="H78" s="124" t="s">
        <v>58</v>
      </c>
      <c r="I78" s="125" t="s">
        <v>59</v>
      </c>
      <c r="J78" s="124" t="s">
        <v>50</v>
      </c>
      <c r="K78" s="126" t="s">
        <v>60</v>
      </c>
    </row>
    <row r="79" spans="2:11" s="1" customFormat="1" ht="29.25" customHeight="1">
      <c r="B79" s="39"/>
      <c r="C79" s="64" t="s">
        <v>51</v>
      </c>
      <c r="J79" s="127">
        <f>J80</f>
        <v>0</v>
      </c>
    </row>
    <row r="80" spans="2:11" s="10" customFormat="1" ht="24" customHeight="1">
      <c r="B80" s="128"/>
      <c r="D80" s="129" t="s">
        <v>39</v>
      </c>
      <c r="E80" s="130" t="s">
        <v>62</v>
      </c>
      <c r="F80" s="130" t="s">
        <v>63</v>
      </c>
      <c r="J80" s="131">
        <f>J81</f>
        <v>0</v>
      </c>
    </row>
    <row r="81" spans="2:11" s="10" customFormat="1" ht="19.899999999999999" customHeight="1">
      <c r="B81" s="128"/>
      <c r="D81" s="129" t="s">
        <v>39</v>
      </c>
      <c r="E81" s="133" t="s">
        <v>64</v>
      </c>
      <c r="F81" s="133" t="s">
        <v>900</v>
      </c>
      <c r="J81" s="134">
        <f>SUM(J82:J118)</f>
        <v>0</v>
      </c>
    </row>
    <row r="82" spans="2:11" s="1" customFormat="1" ht="22.5" customHeight="1">
      <c r="B82" s="39"/>
      <c r="C82" s="135">
        <v>1</v>
      </c>
      <c r="D82" s="135" t="s">
        <v>65</v>
      </c>
      <c r="E82" s="136" t="s">
        <v>612</v>
      </c>
      <c r="F82" s="137" t="s">
        <v>611</v>
      </c>
      <c r="G82" s="138" t="s">
        <v>155</v>
      </c>
      <c r="H82" s="139">
        <f>H84</f>
        <v>28.439999999999998</v>
      </c>
      <c r="I82" s="90"/>
      <c r="J82" s="140">
        <f>ROUND(I82*H82,2)</f>
        <v>0</v>
      </c>
      <c r="K82" s="137"/>
    </row>
    <row r="83" spans="2:11" s="11" customFormat="1" ht="27">
      <c r="B83" s="141"/>
      <c r="D83" s="142" t="s">
        <v>95</v>
      </c>
      <c r="E83" s="143" t="s">
        <v>2</v>
      </c>
      <c r="F83" s="144" t="s">
        <v>901</v>
      </c>
      <c r="H83" s="145">
        <f>(0.67+2.62+0.5+4.02+0.5+0.41+0.83+0.67+1+1+1+1)*2</f>
        <v>28.439999999999998</v>
      </c>
    </row>
    <row r="84" spans="2:11" s="12" customFormat="1">
      <c r="B84" s="146"/>
      <c r="D84" s="142" t="s">
        <v>95</v>
      </c>
      <c r="E84" s="147" t="s">
        <v>2</v>
      </c>
      <c r="F84" s="148" t="s">
        <v>96</v>
      </c>
      <c r="H84" s="149">
        <f>SUM(H83:H83)</f>
        <v>28.439999999999998</v>
      </c>
    </row>
    <row r="85" spans="2:11" s="1" customFormat="1" ht="22.5" customHeight="1">
      <c r="B85" s="39"/>
      <c r="C85" s="135">
        <f>C82+1</f>
        <v>2</v>
      </c>
      <c r="D85" s="135" t="s">
        <v>65</v>
      </c>
      <c r="E85" s="136" t="s">
        <v>578</v>
      </c>
      <c r="F85" s="137" t="s">
        <v>579</v>
      </c>
      <c r="G85" s="138" t="s">
        <v>94</v>
      </c>
      <c r="H85" s="139">
        <f>H87</f>
        <v>45.754939999999998</v>
      </c>
      <c r="I85" s="90"/>
      <c r="J85" s="140">
        <f>ROUND(I85*H85,2)</f>
        <v>0</v>
      </c>
      <c r="K85" s="137"/>
    </row>
    <row r="86" spans="2:11" s="11" customFormat="1" ht="24" customHeight="1">
      <c r="B86" s="141"/>
      <c r="D86" s="142" t="s">
        <v>95</v>
      </c>
      <c r="E86" s="143" t="s">
        <v>2</v>
      </c>
      <c r="F86" s="144" t="s">
        <v>902</v>
      </c>
      <c r="H86" s="145">
        <f>(0.67+2.62+0.5+4.02+0.5+0.41+0.83+0.67)*1.85*2.42</f>
        <v>45.754939999999998</v>
      </c>
    </row>
    <row r="87" spans="2:11" s="12" customFormat="1">
      <c r="B87" s="146"/>
      <c r="D87" s="142" t="s">
        <v>95</v>
      </c>
      <c r="E87" s="147" t="s">
        <v>2</v>
      </c>
      <c r="F87" s="148" t="s">
        <v>96</v>
      </c>
      <c r="H87" s="149">
        <f>SUM(H86:H86)</f>
        <v>45.754939999999998</v>
      </c>
    </row>
    <row r="88" spans="2:11" s="1" customFormat="1" ht="27">
      <c r="B88" s="39"/>
      <c r="C88" s="135">
        <f>C85+1</f>
        <v>3</v>
      </c>
      <c r="D88" s="135" t="s">
        <v>65</v>
      </c>
      <c r="E88" s="136" t="s">
        <v>621</v>
      </c>
      <c r="F88" s="137" t="s">
        <v>903</v>
      </c>
      <c r="G88" s="138" t="s">
        <v>105</v>
      </c>
      <c r="H88" s="139">
        <f>H90</f>
        <v>228.7747</v>
      </c>
      <c r="I88" s="90"/>
      <c r="J88" s="140">
        <f>ROUND(I88*H88,2)</f>
        <v>0</v>
      </c>
      <c r="K88" s="137"/>
    </row>
    <row r="89" spans="2:11" s="11" customFormat="1" ht="24" customHeight="1">
      <c r="B89" s="141"/>
      <c r="D89" s="142" t="s">
        <v>95</v>
      </c>
      <c r="E89" s="143" t="s">
        <v>2</v>
      </c>
      <c r="F89" s="144" t="s">
        <v>904</v>
      </c>
      <c r="H89" s="145">
        <f>((0.67+2.62+0.5+4.02+0.5+0.41+0.83+0.67)*1.85)*(2.42/0.2)</f>
        <v>228.7747</v>
      </c>
    </row>
    <row r="90" spans="2:11" s="12" customFormat="1">
      <c r="B90" s="146"/>
      <c r="D90" s="142" t="s">
        <v>95</v>
      </c>
      <c r="E90" s="147" t="s">
        <v>2</v>
      </c>
      <c r="F90" s="148" t="s">
        <v>96</v>
      </c>
      <c r="H90" s="149">
        <f>SUM(H89:H89)</f>
        <v>228.7747</v>
      </c>
    </row>
    <row r="91" spans="2:11" s="1" customFormat="1" ht="22.5" customHeight="1">
      <c r="B91" s="39"/>
      <c r="C91" s="135">
        <f>C88+1</f>
        <v>4</v>
      </c>
      <c r="D91" s="135" t="s">
        <v>65</v>
      </c>
      <c r="E91" s="136" t="s">
        <v>907</v>
      </c>
      <c r="F91" s="137" t="s">
        <v>906</v>
      </c>
      <c r="G91" s="138" t="s">
        <v>94</v>
      </c>
      <c r="H91" s="139">
        <f>H93</f>
        <v>12.366199999999997</v>
      </c>
      <c r="I91" s="90"/>
      <c r="J91" s="140">
        <f>ROUND(I91*H91,2)</f>
        <v>0</v>
      </c>
      <c r="K91" s="137"/>
    </row>
    <row r="92" spans="2:11" s="11" customFormat="1" ht="27">
      <c r="B92" s="141"/>
      <c r="D92" s="142" t="s">
        <v>95</v>
      </c>
      <c r="E92" s="143" t="s">
        <v>2</v>
      </c>
      <c r="F92" s="144" t="s">
        <v>905</v>
      </c>
      <c r="H92" s="145">
        <f>(0.67+2.62+0.5+4.02+0.5+0.41+0.83+0.67)*0.5*2.42</f>
        <v>12.366199999999997</v>
      </c>
    </row>
    <row r="93" spans="2:11" s="12" customFormat="1">
      <c r="B93" s="146"/>
      <c r="D93" s="142" t="s">
        <v>95</v>
      </c>
      <c r="E93" s="147" t="s">
        <v>2</v>
      </c>
      <c r="F93" s="148" t="s">
        <v>96</v>
      </c>
      <c r="H93" s="149">
        <f>SUM(H92:H92)</f>
        <v>12.366199999999997</v>
      </c>
    </row>
    <row r="94" spans="2:11" s="1" customFormat="1" ht="22.5" customHeight="1">
      <c r="B94" s="39"/>
      <c r="C94" s="135">
        <f>C91+1</f>
        <v>5</v>
      </c>
      <c r="D94" s="135" t="s">
        <v>65</v>
      </c>
      <c r="E94" s="136" t="s">
        <v>584</v>
      </c>
      <c r="F94" s="137" t="s">
        <v>585</v>
      </c>
      <c r="G94" s="138" t="s">
        <v>94</v>
      </c>
      <c r="H94" s="139">
        <f>H97</f>
        <v>54.286939999999994</v>
      </c>
      <c r="I94" s="90"/>
      <c r="J94" s="140">
        <f>ROUND(I94*H94,2)</f>
        <v>0</v>
      </c>
      <c r="K94" s="137"/>
    </row>
    <row r="95" spans="2:11" s="11" customFormat="1" ht="27">
      <c r="B95" s="141"/>
      <c r="D95" s="142" t="s">
        <v>95</v>
      </c>
      <c r="E95" s="143" t="s">
        <v>2</v>
      </c>
      <c r="F95" s="144" t="s">
        <v>908</v>
      </c>
      <c r="H95" s="145">
        <f>(0.67+2.62+0.5+4.02+0.5+0.41+0.83+0.67+1+1+1+1)*2*0.3</f>
        <v>8.5319999999999983</v>
      </c>
    </row>
    <row r="96" spans="2:11" s="11" customFormat="1" ht="24" customHeight="1">
      <c r="B96" s="141"/>
      <c r="D96" s="142" t="s">
        <v>95</v>
      </c>
      <c r="E96" s="143"/>
      <c r="F96" s="144" t="s">
        <v>902</v>
      </c>
      <c r="H96" s="145">
        <f>(0.67+2.62+0.5+4.02+0.5+0.41+0.83+0.67)*1.85*2.42</f>
        <v>45.754939999999998</v>
      </c>
    </row>
    <row r="97" spans="2:11" s="12" customFormat="1">
      <c r="B97" s="146"/>
      <c r="D97" s="142" t="s">
        <v>95</v>
      </c>
      <c r="E97" s="147" t="s">
        <v>2</v>
      </c>
      <c r="F97" s="148" t="s">
        <v>96</v>
      </c>
      <c r="H97" s="149">
        <f>SUM(H95:H96)</f>
        <v>54.286939999999994</v>
      </c>
    </row>
    <row r="98" spans="2:11" s="1" customFormat="1" ht="22.5" customHeight="1">
      <c r="B98" s="39"/>
      <c r="C98" s="135">
        <f>C94+1</f>
        <v>6</v>
      </c>
      <c r="D98" s="135" t="s">
        <v>65</v>
      </c>
      <c r="E98" s="136" t="s">
        <v>586</v>
      </c>
      <c r="F98" s="137" t="s">
        <v>593</v>
      </c>
      <c r="G98" s="138" t="s">
        <v>94</v>
      </c>
      <c r="H98" s="139">
        <f>H101</f>
        <v>54.286939999999994</v>
      </c>
      <c r="I98" s="90"/>
      <c r="J98" s="140">
        <f>ROUND(I98*H98,2)</f>
        <v>0</v>
      </c>
      <c r="K98" s="137"/>
    </row>
    <row r="99" spans="2:11" s="11" customFormat="1" ht="27">
      <c r="B99" s="141"/>
      <c r="D99" s="142" t="s">
        <v>95</v>
      </c>
      <c r="E99" s="143" t="s">
        <v>2</v>
      </c>
      <c r="F99" s="144" t="s">
        <v>908</v>
      </c>
      <c r="H99" s="145">
        <f>(0.67+2.62+0.5+4.02+0.5+0.41+0.83+0.67+1+1+1+1)*2*0.3</f>
        <v>8.5319999999999983</v>
      </c>
    </row>
    <row r="100" spans="2:11" s="11" customFormat="1" ht="24" customHeight="1">
      <c r="B100" s="141"/>
      <c r="D100" s="142" t="s">
        <v>95</v>
      </c>
      <c r="E100" s="143"/>
      <c r="F100" s="144" t="s">
        <v>902</v>
      </c>
      <c r="H100" s="145">
        <f>(0.67+2.62+0.5+4.02+0.5+0.41+0.83+0.67)*1.85*2.42</f>
        <v>45.754939999999998</v>
      </c>
    </row>
    <row r="101" spans="2:11" s="12" customFormat="1">
      <c r="B101" s="146"/>
      <c r="D101" s="142" t="s">
        <v>95</v>
      </c>
      <c r="E101" s="147" t="s">
        <v>2</v>
      </c>
      <c r="F101" s="148" t="s">
        <v>96</v>
      </c>
      <c r="H101" s="149">
        <f>SUM(H99:H100)</f>
        <v>54.286939999999994</v>
      </c>
    </row>
    <row r="102" spans="2:11" s="1" customFormat="1" ht="22.5" customHeight="1">
      <c r="B102" s="39"/>
      <c r="C102" s="135">
        <f>C98+1</f>
        <v>7</v>
      </c>
      <c r="D102" s="135" t="s">
        <v>65</v>
      </c>
      <c r="E102" s="136" t="s">
        <v>587</v>
      </c>
      <c r="F102" s="137" t="s">
        <v>588</v>
      </c>
      <c r="G102" s="138" t="s">
        <v>94</v>
      </c>
      <c r="H102" s="139">
        <f>H105</f>
        <v>54.286939999999994</v>
      </c>
      <c r="I102" s="90"/>
      <c r="J102" s="140">
        <f>ROUND(I102*H102,2)</f>
        <v>0</v>
      </c>
      <c r="K102" s="137"/>
    </row>
    <row r="103" spans="2:11" s="11" customFormat="1" ht="27">
      <c r="B103" s="141"/>
      <c r="D103" s="142" t="s">
        <v>95</v>
      </c>
      <c r="E103" s="143" t="s">
        <v>2</v>
      </c>
      <c r="F103" s="144" t="s">
        <v>908</v>
      </c>
      <c r="H103" s="145">
        <f>(0.67+2.62+0.5+4.02+0.5+0.41+0.83+0.67+1+1+1+1)*2*0.3</f>
        <v>8.5319999999999983</v>
      </c>
    </row>
    <row r="104" spans="2:11" s="11" customFormat="1" ht="24" customHeight="1">
      <c r="B104" s="141"/>
      <c r="D104" s="142" t="s">
        <v>95</v>
      </c>
      <c r="E104" s="143"/>
      <c r="F104" s="144" t="s">
        <v>902</v>
      </c>
      <c r="H104" s="145">
        <f>(0.67+2.62+0.5+4.02+0.5+0.41+0.83+0.67)*1.85*2.42</f>
        <v>45.754939999999998</v>
      </c>
    </row>
    <row r="105" spans="2:11" s="12" customFormat="1">
      <c r="B105" s="146"/>
      <c r="D105" s="142" t="s">
        <v>95</v>
      </c>
      <c r="E105" s="147" t="s">
        <v>2</v>
      </c>
      <c r="F105" s="148" t="s">
        <v>96</v>
      </c>
      <c r="H105" s="149">
        <f>SUM(H103:H104)</f>
        <v>54.286939999999994</v>
      </c>
    </row>
    <row r="106" spans="2:11" s="1" customFormat="1" ht="22.5" customHeight="1">
      <c r="B106" s="39"/>
      <c r="C106" s="135">
        <f>C102+1</f>
        <v>8</v>
      </c>
      <c r="D106" s="135" t="s">
        <v>65</v>
      </c>
      <c r="E106" s="136" t="s">
        <v>589</v>
      </c>
      <c r="F106" s="137" t="s">
        <v>590</v>
      </c>
      <c r="G106" s="138" t="s">
        <v>94</v>
      </c>
      <c r="H106" s="139">
        <f>H109</f>
        <v>54.286939999999994</v>
      </c>
      <c r="I106" s="90"/>
      <c r="J106" s="140">
        <f>H106*I106</f>
        <v>0</v>
      </c>
      <c r="K106" s="137"/>
    </row>
    <row r="107" spans="2:11" s="11" customFormat="1" ht="27">
      <c r="B107" s="141"/>
      <c r="D107" s="142" t="s">
        <v>95</v>
      </c>
      <c r="E107" s="143" t="s">
        <v>2</v>
      </c>
      <c r="F107" s="144" t="s">
        <v>908</v>
      </c>
      <c r="H107" s="145">
        <f>(0.67+2.62+0.5+4.02+0.5+0.41+0.83+0.67+1+1+1+1)*2*0.3</f>
        <v>8.5319999999999983</v>
      </c>
    </row>
    <row r="108" spans="2:11" s="11" customFormat="1" ht="24" customHeight="1">
      <c r="B108" s="141"/>
      <c r="D108" s="142" t="s">
        <v>95</v>
      </c>
      <c r="E108" s="143"/>
      <c r="F108" s="144" t="s">
        <v>902</v>
      </c>
      <c r="H108" s="145">
        <f>(0.67+2.62+0.5+4.02+0.5+0.41+0.83+0.67)*1.85*2.42</f>
        <v>45.754939999999998</v>
      </c>
    </row>
    <row r="109" spans="2:11" s="12" customFormat="1">
      <c r="B109" s="146"/>
      <c r="D109" s="142" t="s">
        <v>95</v>
      </c>
      <c r="E109" s="147" t="s">
        <v>2</v>
      </c>
      <c r="F109" s="148" t="s">
        <v>96</v>
      </c>
      <c r="H109" s="149">
        <f>SUM(H107:H108)</f>
        <v>54.286939999999994</v>
      </c>
    </row>
    <row r="110" spans="2:11" s="1" customFormat="1" ht="22.5" customHeight="1">
      <c r="B110" s="39"/>
      <c r="C110" s="135">
        <f>C106+1</f>
        <v>9</v>
      </c>
      <c r="D110" s="135" t="s">
        <v>65</v>
      </c>
      <c r="E110" s="136" t="s">
        <v>591</v>
      </c>
      <c r="F110" s="137" t="s">
        <v>592</v>
      </c>
      <c r="G110" s="138" t="s">
        <v>101</v>
      </c>
      <c r="H110" s="139">
        <f>H112</f>
        <v>45.754939999999998</v>
      </c>
      <c r="I110" s="90"/>
      <c r="J110" s="140">
        <f>H110*I110</f>
        <v>0</v>
      </c>
      <c r="K110" s="137"/>
    </row>
    <row r="111" spans="2:11" s="11" customFormat="1" ht="24" customHeight="1">
      <c r="B111" s="141"/>
      <c r="D111" s="142" t="s">
        <v>95</v>
      </c>
      <c r="E111" s="143"/>
      <c r="F111" s="144" t="s">
        <v>902</v>
      </c>
      <c r="H111" s="145">
        <f>(0.67+2.62+0.5+4.02+0.5+0.41+0.83+0.67)*1.85*2.42</f>
        <v>45.754939999999998</v>
      </c>
    </row>
    <row r="112" spans="2:11" s="12" customFormat="1">
      <c r="B112" s="146"/>
      <c r="D112" s="142" t="s">
        <v>95</v>
      </c>
      <c r="E112" s="147" t="s">
        <v>2</v>
      </c>
      <c r="F112" s="148" t="s">
        <v>96</v>
      </c>
      <c r="H112" s="149">
        <f>SUM(H111:H111)</f>
        <v>45.754939999999998</v>
      </c>
    </row>
    <row r="113" spans="2:11" s="1" customFormat="1" ht="22.5" customHeight="1">
      <c r="B113" s="39"/>
      <c r="C113" s="135">
        <f>C110+1</f>
        <v>10</v>
      </c>
      <c r="D113" s="135" t="s">
        <v>65</v>
      </c>
      <c r="E113" s="136" t="s">
        <v>845</v>
      </c>
      <c r="F113" s="137" t="s">
        <v>857</v>
      </c>
      <c r="G113" s="138" t="s">
        <v>101</v>
      </c>
      <c r="H113" s="139">
        <f>H115</f>
        <v>5.6879999999999997</v>
      </c>
      <c r="I113" s="90"/>
      <c r="J113" s="140">
        <f>H113*I113</f>
        <v>0</v>
      </c>
      <c r="K113" s="137"/>
    </row>
    <row r="114" spans="2:11" s="11" customFormat="1" ht="27">
      <c r="B114" s="141"/>
      <c r="D114" s="142" t="s">
        <v>95</v>
      </c>
      <c r="E114" s="143" t="s">
        <v>2</v>
      </c>
      <c r="F114" s="144" t="s">
        <v>909</v>
      </c>
      <c r="H114" s="145">
        <f>(0.67+2.62+0.5+4.02+0.5+0.41+0.83+0.67+1+1+1+1)*2*0.2</f>
        <v>5.6879999999999997</v>
      </c>
    </row>
    <row r="115" spans="2:11" s="12" customFormat="1">
      <c r="B115" s="146"/>
      <c r="D115" s="142" t="s">
        <v>95</v>
      </c>
      <c r="E115" s="147" t="s">
        <v>2</v>
      </c>
      <c r="F115" s="148" t="s">
        <v>96</v>
      </c>
      <c r="H115" s="149">
        <f>SUM(H114:H114)</f>
        <v>5.6879999999999997</v>
      </c>
    </row>
    <row r="116" spans="2:11" s="1" customFormat="1" ht="22.5" customHeight="1">
      <c r="B116" s="39"/>
      <c r="C116" s="135">
        <f>C113+1</f>
        <v>11</v>
      </c>
      <c r="D116" s="135" t="s">
        <v>65</v>
      </c>
      <c r="E116" s="136" t="s">
        <v>845</v>
      </c>
      <c r="F116" s="137" t="s">
        <v>856</v>
      </c>
      <c r="G116" s="138" t="s">
        <v>101</v>
      </c>
      <c r="H116" s="139">
        <f>H118</f>
        <v>2.8439999999999999</v>
      </c>
      <c r="I116" s="90"/>
      <c r="J116" s="140">
        <f>H116*I116</f>
        <v>0</v>
      </c>
      <c r="K116" s="137"/>
    </row>
    <row r="117" spans="2:11" s="11" customFormat="1" ht="27">
      <c r="B117" s="141"/>
      <c r="D117" s="142" t="s">
        <v>95</v>
      </c>
      <c r="E117" s="143" t="s">
        <v>2</v>
      </c>
      <c r="F117" s="144" t="s">
        <v>910</v>
      </c>
      <c r="H117" s="145">
        <f>(0.67+2.62+0.5+4.02+0.5+0.41+0.83+0.67+1+1+1+1)*2*0.1</f>
        <v>2.8439999999999999</v>
      </c>
    </row>
    <row r="118" spans="2:11" s="12" customFormat="1">
      <c r="B118" s="146"/>
      <c r="D118" s="142" t="s">
        <v>95</v>
      </c>
      <c r="E118" s="147" t="s">
        <v>2</v>
      </c>
      <c r="F118" s="148" t="s">
        <v>96</v>
      </c>
      <c r="H118" s="149">
        <f>SUM(H117:H117)</f>
        <v>2.8439999999999999</v>
      </c>
    </row>
    <row r="119" spans="2:11" s="1" customFormat="1" ht="6.95" customHeight="1">
      <c r="B119" s="51"/>
      <c r="C119" s="52"/>
      <c r="D119" s="52"/>
      <c r="E119" s="52"/>
      <c r="F119" s="52"/>
      <c r="G119" s="52"/>
      <c r="H119" s="52"/>
      <c r="I119" s="52"/>
      <c r="J119" s="52"/>
      <c r="K119" s="52"/>
    </row>
    <row r="123" spans="2:11" ht="27.75">
      <c r="F123" s="302"/>
    </row>
    <row r="128" spans="2:11">
      <c r="I128" s="87" t="s">
        <v>636</v>
      </c>
      <c r="J128" s="88">
        <f>SUM(J79:J118)/4</f>
        <v>0</v>
      </c>
      <c r="K128" s="89"/>
    </row>
    <row r="129" spans="9:11">
      <c r="I129" s="87" t="s">
        <v>637</v>
      </c>
      <c r="J129" s="88">
        <f>SUM(J57:J60)/3</f>
        <v>0</v>
      </c>
      <c r="K129" s="89"/>
    </row>
    <row r="130" spans="9:11">
      <c r="I130" s="87" t="s">
        <v>638</v>
      </c>
      <c r="J130" s="88">
        <f>J128-J129</f>
        <v>0</v>
      </c>
      <c r="K130" s="87" t="s">
        <v>639</v>
      </c>
    </row>
  </sheetData>
  <sheetProtection algorithmName="SHA-512" hashValue="wq2z0LCLTlVWun4GhsR+YXb0Jcb6Lx/YmzpHX+jkk1ojGSU28hsW6PQ5HhGhqzWbhgq8TzHe08VuCL5uCn7Prg==" saltValue="pjvkoIdF6NwZcp8L6aRuKw==" spinCount="100000" sheet="1" objects="1" scenarios="1"/>
  <autoFilter ref="C78:K78" xr:uid="{00000000-0009-0000-0000-000001000000}"/>
  <mergeCells count="8">
    <mergeCell ref="E69:H69"/>
    <mergeCell ref="E71:H71"/>
    <mergeCell ref="G1:H1"/>
    <mergeCell ref="E7:H7"/>
    <mergeCell ref="E9:H9"/>
    <mergeCell ref="E25:H25"/>
    <mergeCell ref="E46:H46"/>
    <mergeCell ref="E48:H48"/>
  </mergeCells>
  <hyperlinks>
    <hyperlink ref="F1:G1" location="C2" tooltip="Krycí list soupisu" display="1) Krycí list soupisu" xr:uid="{78D2A17E-C2FF-4411-AA06-A09C9ED1F855}"/>
    <hyperlink ref="G1:H1" location="C54" tooltip="Rekapitulace" display="2) Rekapitulace" xr:uid="{ACD3B441-9C83-425D-AE06-0F5DF4503CB4}"/>
    <hyperlink ref="J1" location="C77" tooltip="Soupis prací" display="3) Soupis prací" xr:uid="{EABFF6FF-AF9C-43BA-8F77-78AA50B83182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0B0F-61D4-4DE8-8D8A-24320ED703DA}">
  <sheetPr>
    <pageSetUpPr fitToPage="1"/>
  </sheetPr>
  <dimension ref="A1:O145"/>
  <sheetViews>
    <sheetView showGridLines="0" view="pageBreakPreview" topLeftCell="B1" zoomScaleNormal="100" zoomScaleSheetLayoutView="100" workbookViewId="0">
      <pane ySplit="1" topLeftCell="A115" activePane="bottomLeft" state="frozen"/>
      <selection activeCell="P8" sqref="P8"/>
      <selection pane="bottomLeft" activeCell="AC130" sqref="AC130"/>
    </sheetView>
  </sheetViews>
  <sheetFormatPr defaultRowHeight="13.5"/>
  <cols>
    <col min="1" max="1" width="8.33203125" hidden="1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4.5" customWidth="1"/>
    <col min="10" max="10" width="23.5" customWidth="1"/>
    <col min="11" max="11" width="15.5" customWidth="1"/>
    <col min="13" max="26" width="0" hidden="1" customWidth="1"/>
  </cols>
  <sheetData>
    <row r="1" spans="1:15" ht="21.75" hidden="1" customHeight="1">
      <c r="A1" s="15"/>
      <c r="B1" s="19"/>
      <c r="C1" s="19"/>
      <c r="D1" s="20" t="s">
        <v>1</v>
      </c>
      <c r="E1" s="19"/>
      <c r="F1" s="18" t="s">
        <v>308</v>
      </c>
      <c r="G1" s="424" t="s">
        <v>309</v>
      </c>
      <c r="H1" s="424"/>
      <c r="I1" s="19"/>
      <c r="J1" s="18" t="s">
        <v>310</v>
      </c>
      <c r="K1" s="20" t="s">
        <v>45</v>
      </c>
    </row>
    <row r="2" spans="1:15" ht="36.950000000000003" hidden="1" customHeight="1"/>
    <row r="3" spans="1:15" ht="6.95" customHeight="1">
      <c r="B3" s="27"/>
      <c r="C3" s="28"/>
      <c r="D3" s="28"/>
      <c r="E3" s="28"/>
      <c r="F3" s="28"/>
      <c r="G3" s="28"/>
      <c r="H3" s="28"/>
      <c r="I3" s="28"/>
      <c r="J3" s="28"/>
      <c r="K3" s="29"/>
    </row>
    <row r="4" spans="1:15" ht="36.950000000000003" customHeight="1">
      <c r="B4" s="30"/>
      <c r="D4" s="31" t="s">
        <v>46</v>
      </c>
      <c r="K4" s="32"/>
      <c r="M4" s="302"/>
      <c r="O4" s="302"/>
    </row>
    <row r="5" spans="1:15" ht="6.95" customHeight="1">
      <c r="B5" s="30"/>
      <c r="K5" s="32"/>
    </row>
    <row r="6" spans="1:15" ht="15">
      <c r="B6" s="30"/>
      <c r="D6" s="35" t="s">
        <v>5</v>
      </c>
      <c r="K6" s="32"/>
    </row>
    <row r="7" spans="1:15" ht="22.5" customHeight="1">
      <c r="B7" s="30"/>
      <c r="E7" s="423" t="str">
        <f>'Rekapitulace stavby'!K6</f>
        <v>Realizace výtahu a rekonstrukce navazujících prostor interiéru budovy Městského úřadu Smržovka</v>
      </c>
      <c r="F7" s="370"/>
      <c r="G7" s="370"/>
      <c r="H7" s="370"/>
      <c r="K7" s="32"/>
    </row>
    <row r="8" spans="1:15" s="1" customFormat="1" ht="15">
      <c r="B8" s="39"/>
      <c r="D8" s="35" t="s">
        <v>47</v>
      </c>
      <c r="K8" s="42"/>
    </row>
    <row r="9" spans="1:15" s="1" customFormat="1" ht="36.950000000000003" customHeight="1">
      <c r="B9" s="39"/>
      <c r="E9" s="382" t="s">
        <v>1807</v>
      </c>
      <c r="F9" s="375"/>
      <c r="G9" s="375"/>
      <c r="H9" s="375"/>
      <c r="K9" s="42"/>
    </row>
    <row r="10" spans="1:15" s="1" customFormat="1">
      <c r="B10" s="39"/>
      <c r="K10" s="42"/>
    </row>
    <row r="11" spans="1:15" s="1" customFormat="1" ht="14.45" customHeight="1">
      <c r="B11" s="39"/>
      <c r="D11" s="35" t="s">
        <v>6</v>
      </c>
      <c r="F11" s="36" t="s">
        <v>7</v>
      </c>
      <c r="I11" s="35" t="s">
        <v>8</v>
      </c>
      <c r="J11" s="36" t="s">
        <v>2</v>
      </c>
      <c r="K11" s="42"/>
    </row>
    <row r="12" spans="1:15" s="1" customFormat="1" ht="14.45" customHeight="1">
      <c r="B12" s="39"/>
      <c r="D12" s="35" t="s">
        <v>10</v>
      </c>
      <c r="F12" s="36" t="str">
        <f>'Rekapitulace stavby'!L45</f>
        <v>č.p. 600, st.p.č. 1/1, k.ú. Smržovka [751324]</v>
      </c>
      <c r="I12" s="35" t="s">
        <v>11</v>
      </c>
      <c r="J12" s="92">
        <f>'Rekapitulace stavby'!AN8</f>
        <v>45743</v>
      </c>
      <c r="K12" s="42"/>
    </row>
    <row r="13" spans="1:15" s="1" customFormat="1" ht="10.9" customHeight="1">
      <c r="B13" s="39"/>
      <c r="K13" s="42"/>
    </row>
    <row r="14" spans="1:15" s="1" customFormat="1" ht="14.45" customHeight="1">
      <c r="B14" s="39"/>
      <c r="D14" s="35" t="s">
        <v>12</v>
      </c>
      <c r="I14" s="35" t="s">
        <v>13</v>
      </c>
      <c r="J14" s="36" t="str">
        <f>'Rekapitulace stavby'!AN10</f>
        <v>002 62 579</v>
      </c>
      <c r="K14" s="42"/>
    </row>
    <row r="15" spans="1:15" s="1" customFormat="1" ht="18" customHeight="1">
      <c r="B15" s="39"/>
      <c r="E15" s="36" t="str">
        <f>'Rekapitulace stavby'!E11</f>
        <v>Město Smržovka, nám. T.G.Masaryka č.p. 600, Smržovka, PSČ 46851</v>
      </c>
      <c r="I15" s="35" t="s">
        <v>14</v>
      </c>
      <c r="J15" s="36" t="str">
        <f>'Rekapitulace stavby'!AN11</f>
        <v>CZ00262579</v>
      </c>
      <c r="K15" s="42"/>
    </row>
    <row r="16" spans="1:15" s="1" customFormat="1" ht="6.95" customHeight="1">
      <c r="B16" s="39"/>
      <c r="K16" s="42"/>
    </row>
    <row r="17" spans="2:11" s="1" customFormat="1" ht="14.45" customHeight="1">
      <c r="B17" s="39"/>
      <c r="D17" s="35" t="s">
        <v>15</v>
      </c>
      <c r="I17" s="35" t="s">
        <v>13</v>
      </c>
      <c r="J17" s="36" t="str">
        <f>IF('Rekapitulace stavby'!AN13="Vyplň údaj","",IF('Rekapitulace stavby'!AN13="","",'Rekapitulace stavby'!AN13))</f>
        <v/>
      </c>
      <c r="K17" s="42"/>
    </row>
    <row r="18" spans="2:11" s="1" customFormat="1" ht="18" customHeight="1">
      <c r="B18" s="39"/>
      <c r="E18" s="36" t="str">
        <f>IF('Rekapitulace stavby'!E14="Vyplň údaj","",IF('Rekapitulace stavby'!E14="","",'Rekapitulace stavby'!E14))</f>
        <v xml:space="preserve"> </v>
      </c>
      <c r="I18" s="35" t="s">
        <v>14</v>
      </c>
      <c r="J18" s="36" t="str">
        <f>IF('Rekapitulace stavby'!AN14="Vyplň údaj","",IF('Rekapitulace stavby'!AN14="","",'Rekapitulace stavby'!AN14))</f>
        <v/>
      </c>
      <c r="K18" s="42"/>
    </row>
    <row r="19" spans="2:11" s="1" customFormat="1" ht="6.95" customHeight="1">
      <c r="B19" s="39"/>
      <c r="K19" s="42"/>
    </row>
    <row r="20" spans="2:11" s="1" customFormat="1" ht="14.45" customHeight="1">
      <c r="B20" s="39"/>
      <c r="D20" s="35" t="s">
        <v>17</v>
      </c>
      <c r="I20" s="35" t="s">
        <v>13</v>
      </c>
      <c r="J20" s="36" t="str">
        <f>'Rekapitulace stavby'!AN16</f>
        <v>120 45 357</v>
      </c>
      <c r="K20" s="42"/>
    </row>
    <row r="21" spans="2:11" s="1" customFormat="1" ht="18" customHeight="1">
      <c r="B21" s="39"/>
      <c r="E21" s="36" t="str">
        <f>'Rekapitulace stavby'!E17</f>
        <v>LHOTA - STAVITELSTVÍ</v>
      </c>
      <c r="I21" s="35" t="s">
        <v>14</v>
      </c>
      <c r="J21" s="36" t="s">
        <v>2</v>
      </c>
      <c r="K21" s="42"/>
    </row>
    <row r="22" spans="2:11" s="1" customFormat="1" ht="15">
      <c r="B22" s="39"/>
      <c r="E22" s="36" t="str">
        <f>'Rekapitulace stavby'!E18</f>
        <v>sdružení osob Bohumil Lhota a Ing. Vít Lhota, sídlo: Zásada 311, PSČ 46825</v>
      </c>
      <c r="I22" s="35"/>
      <c r="J22" s="36"/>
      <c r="K22" s="42"/>
    </row>
    <row r="23" spans="2:11" s="1" customFormat="1" ht="15">
      <c r="B23" s="39"/>
      <c r="E23" s="299" t="str">
        <f>'Rekapitulace stavby'!E19</f>
        <v>ateliér: Smetanova 1809/82, Jablonec nad Nisou, PSČ 46601</v>
      </c>
      <c r="K23" s="42"/>
    </row>
    <row r="24" spans="2:11" s="1" customFormat="1" ht="14.45" customHeight="1">
      <c r="B24" s="39"/>
      <c r="D24" s="35" t="s">
        <v>18</v>
      </c>
      <c r="K24" s="42"/>
    </row>
    <row r="25" spans="2:11" s="6" customFormat="1" ht="22.5" customHeight="1">
      <c r="B25" s="93"/>
      <c r="E25" s="371" t="str">
        <f>'Rekapitulace stavby'!E21:AN21</f>
        <v>Provedeno na základě předložené dokumentace "DSJ".</v>
      </c>
      <c r="F25" s="427"/>
      <c r="G25" s="427"/>
      <c r="H25" s="427"/>
      <c r="K25" s="94"/>
    </row>
    <row r="26" spans="2:11" s="1" customFormat="1" ht="6.95" customHeight="1">
      <c r="B26" s="39"/>
      <c r="K26" s="42"/>
    </row>
    <row r="27" spans="2:11" s="1" customFormat="1" ht="6.95" customHeight="1">
      <c r="B27" s="39"/>
      <c r="D27" s="61"/>
      <c r="E27" s="61"/>
      <c r="F27" s="61"/>
      <c r="G27" s="61"/>
      <c r="H27" s="61"/>
      <c r="I27" s="61"/>
      <c r="J27" s="61"/>
      <c r="K27" s="95"/>
    </row>
    <row r="28" spans="2:11" s="1" customFormat="1" ht="25.35" customHeight="1">
      <c r="B28" s="39"/>
      <c r="D28" s="96" t="s">
        <v>19</v>
      </c>
      <c r="J28" s="97">
        <f>ROUND(J80,2)</f>
        <v>0</v>
      </c>
      <c r="K28" s="42"/>
    </row>
    <row r="29" spans="2:11" s="1" customFormat="1" ht="6.95" customHeight="1">
      <c r="B29" s="39"/>
      <c r="D29" s="61"/>
      <c r="E29" s="61"/>
      <c r="F29" s="61"/>
      <c r="G29" s="61"/>
      <c r="H29" s="61"/>
      <c r="I29" s="61"/>
      <c r="J29" s="61"/>
      <c r="K29" s="95"/>
    </row>
    <row r="30" spans="2:11" s="1" customFormat="1" ht="14.45" customHeight="1">
      <c r="B30" s="39"/>
      <c r="F30" s="98" t="s">
        <v>21</v>
      </c>
      <c r="I30" s="98" t="s">
        <v>20</v>
      </c>
      <c r="J30" s="98" t="s">
        <v>22</v>
      </c>
      <c r="K30" s="42"/>
    </row>
    <row r="31" spans="2:11" s="1" customFormat="1" ht="14.45" customHeight="1">
      <c r="B31" s="39"/>
      <c r="D31" s="44" t="s">
        <v>23</v>
      </c>
      <c r="E31" s="44" t="s">
        <v>24</v>
      </c>
      <c r="F31" s="99">
        <f>ROUND(SUM(J28), 2)</f>
        <v>0</v>
      </c>
      <c r="I31" s="100">
        <v>0.21</v>
      </c>
      <c r="J31" s="99">
        <f>ROUND(ROUND((SUM(F31)), 2)*I31, 2)</f>
        <v>0</v>
      </c>
      <c r="K31" s="42"/>
    </row>
    <row r="32" spans="2:11" s="1" customFormat="1" ht="14.45" customHeight="1">
      <c r="B32" s="39"/>
      <c r="E32" s="44" t="s">
        <v>25</v>
      </c>
      <c r="F32" s="99">
        <v>0</v>
      </c>
      <c r="I32" s="100">
        <v>0.15</v>
      </c>
      <c r="J32" s="99">
        <f>ROUND(ROUND((SUM(F32)), 2)*I32, 2)</f>
        <v>0</v>
      </c>
      <c r="K32" s="42"/>
    </row>
    <row r="33" spans="2:11" s="1" customFormat="1" ht="14.45" hidden="1" customHeight="1">
      <c r="B33" s="39"/>
      <c r="E33" s="44" t="s">
        <v>26</v>
      </c>
      <c r="F33" s="99" t="e">
        <f>ROUND(SUM(#REF!), 2)</f>
        <v>#REF!</v>
      </c>
      <c r="I33" s="100">
        <v>0.21</v>
      </c>
      <c r="J33" s="99">
        <v>0</v>
      </c>
      <c r="K33" s="42"/>
    </row>
    <row r="34" spans="2:11" s="1" customFormat="1" ht="14.45" hidden="1" customHeight="1">
      <c r="B34" s="39"/>
      <c r="E34" s="44" t="s">
        <v>27</v>
      </c>
      <c r="F34" s="99" t="e">
        <f>ROUND(SUM(#REF!), 2)</f>
        <v>#REF!</v>
      </c>
      <c r="I34" s="100">
        <v>0.15</v>
      </c>
      <c r="J34" s="99">
        <v>0</v>
      </c>
      <c r="K34" s="42"/>
    </row>
    <row r="35" spans="2:11" s="1" customFormat="1" ht="14.45" hidden="1" customHeight="1">
      <c r="B35" s="39"/>
      <c r="E35" s="44" t="s">
        <v>28</v>
      </c>
      <c r="F35" s="99" t="e">
        <f>ROUND(SUM(#REF!), 2)</f>
        <v>#REF!</v>
      </c>
      <c r="I35" s="100">
        <v>0</v>
      </c>
      <c r="J35" s="99">
        <v>0</v>
      </c>
      <c r="K35" s="42"/>
    </row>
    <row r="36" spans="2:11" s="1" customFormat="1" ht="6.95" customHeight="1">
      <c r="B36" s="39"/>
      <c r="K36" s="42"/>
    </row>
    <row r="37" spans="2:11" s="1" customFormat="1" ht="25.35" customHeight="1">
      <c r="B37" s="39"/>
      <c r="C37" s="101"/>
      <c r="D37" s="102" t="s">
        <v>29</v>
      </c>
      <c r="E37" s="62"/>
      <c r="F37" s="62"/>
      <c r="G37" s="103" t="s">
        <v>30</v>
      </c>
      <c r="H37" s="104" t="s">
        <v>31</v>
      </c>
      <c r="I37" s="62"/>
      <c r="J37" s="105">
        <f>SUM(J28:J35)</f>
        <v>0</v>
      </c>
      <c r="K37" s="106"/>
    </row>
    <row r="38" spans="2:11" s="1" customFormat="1" ht="14.45" customHeight="1">
      <c r="B38" s="51"/>
      <c r="C38" s="52"/>
      <c r="D38" s="52"/>
      <c r="E38" s="52"/>
      <c r="F38" s="52"/>
      <c r="G38" s="52"/>
      <c r="H38" s="52"/>
      <c r="I38" s="52"/>
      <c r="J38" s="52"/>
      <c r="K38" s="53"/>
    </row>
    <row r="42" spans="2:11" s="1" customFormat="1" ht="6.95" customHeight="1">
      <c r="B42" s="54"/>
      <c r="C42" s="55"/>
      <c r="D42" s="55"/>
      <c r="E42" s="55"/>
      <c r="F42" s="55"/>
      <c r="G42" s="55"/>
      <c r="H42" s="55"/>
      <c r="I42" s="55"/>
      <c r="J42" s="55"/>
      <c r="K42" s="107"/>
    </row>
    <row r="43" spans="2:11" s="1" customFormat="1" ht="36.950000000000003" customHeight="1">
      <c r="B43" s="39"/>
      <c r="C43" s="31" t="s">
        <v>48</v>
      </c>
      <c r="K43" s="42"/>
    </row>
    <row r="44" spans="2:11" s="1" customFormat="1" ht="6.95" customHeight="1">
      <c r="B44" s="39"/>
      <c r="K44" s="42"/>
    </row>
    <row r="45" spans="2:11" s="1" customFormat="1" ht="14.45" customHeight="1">
      <c r="B45" s="39"/>
      <c r="C45" s="35" t="s">
        <v>5</v>
      </c>
      <c r="K45" s="42"/>
    </row>
    <row r="46" spans="2:11" s="1" customFormat="1" ht="22.5" customHeight="1">
      <c r="B46" s="39"/>
      <c r="E46" s="423" t="str">
        <f>E7</f>
        <v>Realizace výtahu a rekonstrukce navazujících prostor interiéru budovy Městského úřadu Smržovka</v>
      </c>
      <c r="F46" s="375"/>
      <c r="G46" s="375"/>
      <c r="H46" s="375"/>
      <c r="K46" s="42"/>
    </row>
    <row r="47" spans="2:11" s="1" customFormat="1" ht="14.45" customHeight="1">
      <c r="B47" s="39"/>
      <c r="C47" s="35" t="s">
        <v>47</v>
      </c>
      <c r="K47" s="42"/>
    </row>
    <row r="48" spans="2:11" s="1" customFormat="1" ht="23.25" customHeight="1">
      <c r="B48" s="39"/>
      <c r="E48" s="382" t="str">
        <f>E9</f>
        <v>INT 01 - Interiér a mobilní vybavení</v>
      </c>
      <c r="F48" s="375"/>
      <c r="G48" s="375"/>
      <c r="H48" s="375"/>
      <c r="K48" s="42"/>
    </row>
    <row r="49" spans="2:11" s="1" customFormat="1" ht="6.95" customHeight="1">
      <c r="B49" s="39"/>
      <c r="K49" s="42"/>
    </row>
    <row r="50" spans="2:11" s="1" customFormat="1" ht="18" customHeight="1">
      <c r="B50" s="39"/>
      <c r="C50" s="35" t="s">
        <v>10</v>
      </c>
      <c r="F50" s="36" t="str">
        <f>F12</f>
        <v>č.p. 600, st.p.č. 1/1, k.ú. Smržovka [751324]</v>
      </c>
      <c r="I50" s="35" t="s">
        <v>11</v>
      </c>
      <c r="J50" s="92">
        <f>IF(J12="","",J12)</f>
        <v>45743</v>
      </c>
      <c r="K50" s="42"/>
    </row>
    <row r="51" spans="2:11" s="1" customFormat="1" ht="6.95" customHeight="1">
      <c r="B51" s="39"/>
      <c r="K51" s="42"/>
    </row>
    <row r="52" spans="2:11" s="1" customFormat="1" ht="15">
      <c r="B52" s="39"/>
      <c r="C52" s="35" t="s">
        <v>12</v>
      </c>
      <c r="F52" s="36" t="str">
        <f>E15</f>
        <v>Město Smržovka, nám. T.G.Masaryka č.p. 600, Smržovka, PSČ 46851</v>
      </c>
      <c r="I52" s="35" t="s">
        <v>17</v>
      </c>
      <c r="J52" s="36" t="str">
        <f>E21</f>
        <v>LHOTA - STAVITELSTVÍ</v>
      </c>
      <c r="K52" s="42"/>
    </row>
    <row r="53" spans="2:11" s="1" customFormat="1" ht="14.45" customHeight="1">
      <c r="B53" s="39"/>
      <c r="C53" s="35" t="s">
        <v>15</v>
      </c>
      <c r="F53" s="36" t="str">
        <f>IF(E18="","",E18)</f>
        <v xml:space="preserve"> </v>
      </c>
      <c r="K53" s="42"/>
    </row>
    <row r="54" spans="2:11" s="1" customFormat="1" ht="10.35" customHeight="1">
      <c r="B54" s="39"/>
      <c r="K54" s="42"/>
    </row>
    <row r="55" spans="2:11" s="1" customFormat="1" ht="29.25" customHeight="1">
      <c r="B55" s="39"/>
      <c r="C55" s="108" t="s">
        <v>49</v>
      </c>
      <c r="D55" s="101"/>
      <c r="E55" s="101"/>
      <c r="F55" s="101"/>
      <c r="G55" s="101"/>
      <c r="H55" s="101"/>
      <c r="I55" s="101"/>
      <c r="J55" s="109" t="s">
        <v>50</v>
      </c>
      <c r="K55" s="110"/>
    </row>
    <row r="56" spans="2:11" s="1" customFormat="1" ht="10.35" customHeight="1">
      <c r="B56" s="39"/>
      <c r="K56" s="42"/>
    </row>
    <row r="57" spans="2:11" s="1" customFormat="1" ht="29.25" customHeight="1">
      <c r="B57" s="39"/>
      <c r="C57" s="111" t="s">
        <v>51</v>
      </c>
      <c r="J57" s="97">
        <f>J80</f>
        <v>0</v>
      </c>
      <c r="K57" s="42"/>
    </row>
    <row r="58" spans="2:11" s="7" customFormat="1" ht="24.95" customHeight="1">
      <c r="B58" s="112"/>
      <c r="D58" s="113" t="s">
        <v>75</v>
      </c>
      <c r="E58" s="114"/>
      <c r="F58" s="114"/>
      <c r="G58" s="114"/>
      <c r="H58" s="114"/>
      <c r="I58" s="114"/>
      <c r="J58" s="115">
        <f>J81</f>
        <v>0</v>
      </c>
      <c r="K58" s="116"/>
    </row>
    <row r="59" spans="2:11" s="8" customFormat="1" ht="19.899999999999999" customHeight="1">
      <c r="B59" s="117"/>
      <c r="D59" s="118" t="s">
        <v>2257</v>
      </c>
      <c r="E59" s="119"/>
      <c r="F59" s="119"/>
      <c r="G59" s="119"/>
      <c r="H59" s="119"/>
      <c r="I59" s="119"/>
      <c r="J59" s="120">
        <f>J82</f>
        <v>0</v>
      </c>
      <c r="K59" s="121"/>
    </row>
    <row r="60" spans="2:11" s="8" customFormat="1" ht="19.899999999999999" customHeight="1">
      <c r="B60" s="117"/>
      <c r="D60" s="118" t="s">
        <v>2258</v>
      </c>
      <c r="E60" s="119"/>
      <c r="F60" s="119"/>
      <c r="G60" s="119"/>
      <c r="H60" s="119"/>
      <c r="I60" s="119"/>
      <c r="J60" s="120">
        <f>J96</f>
        <v>0</v>
      </c>
      <c r="K60" s="121"/>
    </row>
    <row r="61" spans="2:11" s="1" customFormat="1" ht="21.75" customHeight="1">
      <c r="B61" s="39"/>
      <c r="K61" s="42"/>
    </row>
    <row r="62" spans="2:11" s="1" customFormat="1" ht="6.95" customHeight="1">
      <c r="B62" s="51"/>
      <c r="C62" s="52"/>
      <c r="D62" s="52"/>
      <c r="E62" s="52"/>
      <c r="F62" s="52"/>
      <c r="G62" s="52"/>
      <c r="H62" s="52"/>
      <c r="I62" s="52"/>
      <c r="J62" s="52"/>
      <c r="K62" s="53"/>
    </row>
    <row r="66" spans="2:11" s="1" customFormat="1" ht="6.95" customHeight="1">
      <c r="B66" s="54"/>
      <c r="C66" s="55"/>
      <c r="D66" s="55"/>
      <c r="E66" s="55"/>
      <c r="F66" s="55"/>
      <c r="G66" s="55"/>
      <c r="H66" s="55"/>
      <c r="I66" s="55"/>
      <c r="J66" s="55"/>
      <c r="K66" s="55"/>
    </row>
    <row r="67" spans="2:11" s="1" customFormat="1" ht="36.950000000000003" customHeight="1">
      <c r="B67" s="39"/>
      <c r="C67" s="31" t="s">
        <v>54</v>
      </c>
    </row>
    <row r="68" spans="2:11" s="1" customFormat="1" ht="6.95" customHeight="1">
      <c r="B68" s="39"/>
    </row>
    <row r="69" spans="2:11" s="1" customFormat="1" ht="14.45" customHeight="1">
      <c r="B69" s="39"/>
      <c r="C69" s="35" t="s">
        <v>5</v>
      </c>
    </row>
    <row r="70" spans="2:11" s="1" customFormat="1" ht="22.5" customHeight="1">
      <c r="B70" s="39"/>
      <c r="E70" s="423" t="str">
        <f>E7</f>
        <v>Realizace výtahu a rekonstrukce navazujících prostor interiéru budovy Městského úřadu Smržovka</v>
      </c>
      <c r="F70" s="375"/>
      <c r="G70" s="375"/>
      <c r="H70" s="375"/>
    </row>
    <row r="71" spans="2:11" s="1" customFormat="1" ht="14.45" customHeight="1">
      <c r="B71" s="39"/>
      <c r="C71" s="35" t="s">
        <v>47</v>
      </c>
    </row>
    <row r="72" spans="2:11" s="1" customFormat="1" ht="23.25" customHeight="1">
      <c r="B72" s="39"/>
      <c r="E72" s="382" t="str">
        <f>E9</f>
        <v>INT 01 - Interiér a mobilní vybavení</v>
      </c>
      <c r="F72" s="375"/>
      <c r="G72" s="375"/>
      <c r="H72" s="375"/>
    </row>
    <row r="73" spans="2:11" s="1" customFormat="1" ht="6.95" customHeight="1">
      <c r="B73" s="39"/>
    </row>
    <row r="74" spans="2:11" s="1" customFormat="1" ht="18" customHeight="1">
      <c r="B74" s="39"/>
      <c r="C74" s="35" t="s">
        <v>10</v>
      </c>
      <c r="F74" s="36" t="str">
        <f>F12</f>
        <v>č.p. 600, st.p.č. 1/1, k.ú. Smržovka [751324]</v>
      </c>
      <c r="I74" s="35" t="s">
        <v>11</v>
      </c>
      <c r="J74" s="92">
        <f>IF(J12="","",J12)</f>
        <v>45743</v>
      </c>
    </row>
    <row r="75" spans="2:11" s="1" customFormat="1" ht="6.95" customHeight="1">
      <c r="B75" s="39"/>
    </row>
    <row r="76" spans="2:11" s="1" customFormat="1" ht="15">
      <c r="B76" s="39"/>
      <c r="C76" s="35" t="s">
        <v>12</v>
      </c>
      <c r="F76" s="36" t="str">
        <f>E15</f>
        <v>Město Smržovka, nám. T.G.Masaryka č.p. 600, Smržovka, PSČ 46851</v>
      </c>
      <c r="I76" s="35" t="s">
        <v>17</v>
      </c>
      <c r="J76" s="36" t="str">
        <f>E21</f>
        <v>LHOTA - STAVITELSTVÍ</v>
      </c>
    </row>
    <row r="77" spans="2:11" s="1" customFormat="1" ht="14.45" customHeight="1">
      <c r="B77" s="39"/>
      <c r="C77" s="35" t="s">
        <v>15</v>
      </c>
      <c r="F77" s="36" t="str">
        <f>IF(E18="","",E18)</f>
        <v xml:space="preserve"> </v>
      </c>
    </row>
    <row r="78" spans="2:11" s="1" customFormat="1" ht="10.35" customHeight="1">
      <c r="B78" s="39"/>
    </row>
    <row r="79" spans="2:11" s="9" customFormat="1" ht="29.25" customHeight="1">
      <c r="B79" s="122"/>
      <c r="C79" s="123" t="s">
        <v>55</v>
      </c>
      <c r="D79" s="124" t="s">
        <v>37</v>
      </c>
      <c r="E79" s="124" t="s">
        <v>33</v>
      </c>
      <c r="F79" s="124" t="s">
        <v>56</v>
      </c>
      <c r="G79" s="124" t="s">
        <v>57</v>
      </c>
      <c r="H79" s="124" t="s">
        <v>58</v>
      </c>
      <c r="I79" s="125" t="s">
        <v>59</v>
      </c>
      <c r="J79" s="124" t="s">
        <v>50</v>
      </c>
      <c r="K79" s="126" t="s">
        <v>60</v>
      </c>
    </row>
    <row r="80" spans="2:11" s="1" customFormat="1" ht="29.25" customHeight="1">
      <c r="B80" s="39"/>
      <c r="C80" s="64" t="s">
        <v>51</v>
      </c>
      <c r="J80" s="127">
        <f>J81</f>
        <v>0</v>
      </c>
    </row>
    <row r="81" spans="2:11" s="10" customFormat="1" ht="24" customHeight="1">
      <c r="B81" s="128"/>
      <c r="D81" s="129" t="s">
        <v>39</v>
      </c>
      <c r="E81" s="130" t="s">
        <v>206</v>
      </c>
      <c r="F81" s="130" t="s">
        <v>207</v>
      </c>
      <c r="J81" s="131">
        <f>J82+J96</f>
        <v>0</v>
      </c>
    </row>
    <row r="82" spans="2:11" s="10" customFormat="1" ht="19.899999999999999" customHeight="1">
      <c r="B82" s="128"/>
      <c r="D82" s="129" t="s">
        <v>39</v>
      </c>
      <c r="E82" s="133">
        <v>1</v>
      </c>
      <c r="F82" s="133" t="s">
        <v>2256</v>
      </c>
      <c r="J82" s="134">
        <f>SUM(J83:J95)</f>
        <v>0</v>
      </c>
    </row>
    <row r="83" spans="2:11" s="1" customFormat="1" ht="24" customHeight="1">
      <c r="B83" s="39"/>
      <c r="C83" s="135">
        <v>1</v>
      </c>
      <c r="D83" s="135" t="s">
        <v>65</v>
      </c>
      <c r="E83" s="136" t="s">
        <v>2247</v>
      </c>
      <c r="F83" s="137" t="s">
        <v>2294</v>
      </c>
      <c r="G83" s="138" t="s">
        <v>181</v>
      </c>
      <c r="H83" s="139">
        <f>H85</f>
        <v>1</v>
      </c>
      <c r="I83" s="90"/>
      <c r="J83" s="140">
        <f>ROUND(I83*H83,2)</f>
        <v>0</v>
      </c>
      <c r="K83" s="137"/>
    </row>
    <row r="84" spans="2:11" s="11" customFormat="1">
      <c r="B84" s="141"/>
      <c r="D84" s="142" t="s">
        <v>95</v>
      </c>
      <c r="E84" s="143" t="s">
        <v>2</v>
      </c>
      <c r="F84" s="144" t="s">
        <v>2249</v>
      </c>
      <c r="H84" s="145">
        <f>1</f>
        <v>1</v>
      </c>
    </row>
    <row r="85" spans="2:11" s="12" customFormat="1">
      <c r="B85" s="146"/>
      <c r="D85" s="142" t="s">
        <v>95</v>
      </c>
      <c r="E85" s="147" t="s">
        <v>2</v>
      </c>
      <c r="F85" s="148" t="s">
        <v>96</v>
      </c>
      <c r="H85" s="149">
        <f>SUM(H84:H84)</f>
        <v>1</v>
      </c>
    </row>
    <row r="86" spans="2:11" s="349" customFormat="1" ht="24" customHeight="1">
      <c r="B86" s="348"/>
      <c r="C86" s="150">
        <f>C83+1</f>
        <v>2</v>
      </c>
      <c r="D86" s="150" t="s">
        <v>123</v>
      </c>
      <c r="E86" s="151" t="s">
        <v>2250</v>
      </c>
      <c r="F86" s="152" t="s">
        <v>2295</v>
      </c>
      <c r="G86" s="153" t="s">
        <v>181</v>
      </c>
      <c r="H86" s="154">
        <f>H88</f>
        <v>1</v>
      </c>
      <c r="I86" s="91"/>
      <c r="J86" s="155">
        <f>ROUND(I86*H86,2)</f>
        <v>0</v>
      </c>
      <c r="K86" s="152"/>
    </row>
    <row r="87" spans="2:11" s="11" customFormat="1">
      <c r="B87" s="141"/>
      <c r="D87" s="142" t="s">
        <v>95</v>
      </c>
      <c r="E87" s="143" t="s">
        <v>2</v>
      </c>
      <c r="F87" s="144" t="s">
        <v>2249</v>
      </c>
      <c r="H87" s="145">
        <f>1</f>
        <v>1</v>
      </c>
    </row>
    <row r="88" spans="2:11" s="12" customFormat="1">
      <c r="B88" s="146"/>
      <c r="D88" s="142" t="s">
        <v>95</v>
      </c>
      <c r="E88" s="147" t="s">
        <v>2</v>
      </c>
      <c r="F88" s="148" t="s">
        <v>96</v>
      </c>
      <c r="H88" s="149">
        <f>SUM(H87:H87)</f>
        <v>1</v>
      </c>
    </row>
    <row r="89" spans="2:11" s="1" customFormat="1" ht="24" customHeight="1">
      <c r="B89" s="39"/>
      <c r="C89" s="135">
        <f>C86+1</f>
        <v>3</v>
      </c>
      <c r="D89" s="135" t="s">
        <v>65</v>
      </c>
      <c r="E89" s="136" t="s">
        <v>2251</v>
      </c>
      <c r="F89" s="137" t="s">
        <v>2253</v>
      </c>
      <c r="G89" s="138" t="s">
        <v>265</v>
      </c>
      <c r="H89" s="139">
        <f>H91</f>
        <v>1</v>
      </c>
      <c r="I89" s="90"/>
      <c r="J89" s="140">
        <f>ROUND(I89*H89,2)</f>
        <v>0</v>
      </c>
      <c r="K89" s="137"/>
    </row>
    <row r="90" spans="2:11" s="11" customFormat="1">
      <c r="B90" s="141"/>
      <c r="D90" s="142" t="s">
        <v>95</v>
      </c>
      <c r="E90" s="143" t="s">
        <v>2</v>
      </c>
      <c r="F90" s="144" t="s">
        <v>2249</v>
      </c>
      <c r="H90" s="145">
        <f>1</f>
        <v>1</v>
      </c>
    </row>
    <row r="91" spans="2:11" s="12" customFormat="1">
      <c r="B91" s="146"/>
      <c r="D91" s="142" t="s">
        <v>95</v>
      </c>
      <c r="E91" s="147" t="s">
        <v>2</v>
      </c>
      <c r="F91" s="148" t="s">
        <v>96</v>
      </c>
      <c r="H91" s="149">
        <f>SUM(H90:H90)</f>
        <v>1</v>
      </c>
    </row>
    <row r="92" spans="2:11" s="349" customFormat="1" ht="24" customHeight="1">
      <c r="B92" s="348"/>
      <c r="C92" s="150">
        <f>C89+1</f>
        <v>4</v>
      </c>
      <c r="D92" s="150" t="s">
        <v>123</v>
      </c>
      <c r="E92" s="151" t="s">
        <v>2252</v>
      </c>
      <c r="F92" s="152" t="s">
        <v>2254</v>
      </c>
      <c r="G92" s="153" t="s">
        <v>265</v>
      </c>
      <c r="H92" s="154">
        <f>H94</f>
        <v>1</v>
      </c>
      <c r="I92" s="91"/>
      <c r="J92" s="155">
        <f>ROUND(I92*H92,2)</f>
        <v>0</v>
      </c>
      <c r="K92" s="152"/>
    </row>
    <row r="93" spans="2:11" s="11" customFormat="1">
      <c r="B93" s="141"/>
      <c r="D93" s="142" t="s">
        <v>95</v>
      </c>
      <c r="E93" s="143" t="s">
        <v>2</v>
      </c>
      <c r="F93" s="144" t="s">
        <v>2255</v>
      </c>
      <c r="H93" s="145">
        <f>1</f>
        <v>1</v>
      </c>
    </row>
    <row r="94" spans="2:11" s="12" customFormat="1">
      <c r="B94" s="146"/>
      <c r="D94" s="142" t="s">
        <v>95</v>
      </c>
      <c r="E94" s="147" t="s">
        <v>2</v>
      </c>
      <c r="F94" s="148" t="s">
        <v>96</v>
      </c>
      <c r="H94" s="149">
        <f>SUM(H93:H93)</f>
        <v>1</v>
      </c>
    </row>
    <row r="95" spans="2:11" s="1" customFormat="1" ht="22.5" customHeight="1">
      <c r="B95" s="39"/>
      <c r="C95" s="135">
        <f>C92+1</f>
        <v>5</v>
      </c>
      <c r="D95" s="135" t="s">
        <v>65</v>
      </c>
      <c r="E95" s="136" t="s">
        <v>2287</v>
      </c>
      <c r="F95" s="137" t="s">
        <v>2288</v>
      </c>
      <c r="G95" s="138" t="s">
        <v>261</v>
      </c>
      <c r="H95" s="140">
        <f>SUM(J83:J94)</f>
        <v>0</v>
      </c>
      <c r="I95" s="90"/>
      <c r="J95" s="140">
        <f>ROUND(I95%*H95,2)</f>
        <v>0</v>
      </c>
      <c r="K95" s="137"/>
    </row>
    <row r="96" spans="2:11" s="10" customFormat="1" ht="19.899999999999999" customHeight="1">
      <c r="B96" s="128"/>
      <c r="D96" s="129" t="s">
        <v>39</v>
      </c>
      <c r="E96" s="133">
        <v>2</v>
      </c>
      <c r="F96" s="133" t="s">
        <v>2259</v>
      </c>
      <c r="J96" s="134">
        <f>SUM(J97:J133)</f>
        <v>0</v>
      </c>
    </row>
    <row r="97" spans="2:11" s="1" customFormat="1" ht="24" customHeight="1">
      <c r="B97" s="39"/>
      <c r="C97" s="135">
        <f>C95+1</f>
        <v>6</v>
      </c>
      <c r="D97" s="135" t="s">
        <v>65</v>
      </c>
      <c r="E97" s="136" t="s">
        <v>2261</v>
      </c>
      <c r="F97" s="137" t="s">
        <v>2260</v>
      </c>
      <c r="G97" s="138" t="s">
        <v>265</v>
      </c>
      <c r="H97" s="139">
        <f>H101</f>
        <v>10</v>
      </c>
      <c r="I97" s="90"/>
      <c r="J97" s="140">
        <f>ROUND(I97*H97,2)</f>
        <v>0</v>
      </c>
      <c r="K97" s="137"/>
    </row>
    <row r="98" spans="2:11" s="11" customFormat="1">
      <c r="B98" s="141"/>
      <c r="D98" s="142" t="s">
        <v>95</v>
      </c>
      <c r="E98" s="143" t="s">
        <v>2</v>
      </c>
      <c r="F98" s="144" t="s">
        <v>2264</v>
      </c>
      <c r="H98" s="145">
        <f>8</f>
        <v>8</v>
      </c>
    </row>
    <row r="99" spans="2:11" s="11" customFormat="1">
      <c r="B99" s="141"/>
      <c r="D99" s="142" t="s">
        <v>95</v>
      </c>
      <c r="E99" s="143" t="s">
        <v>2</v>
      </c>
      <c r="F99" s="144" t="s">
        <v>2265</v>
      </c>
      <c r="H99" s="145">
        <f>1</f>
        <v>1</v>
      </c>
    </row>
    <row r="100" spans="2:11" s="11" customFormat="1" ht="27">
      <c r="B100" s="141"/>
      <c r="D100" s="142" t="s">
        <v>95</v>
      </c>
      <c r="E100" s="143" t="s">
        <v>2</v>
      </c>
      <c r="F100" s="144" t="s">
        <v>2266</v>
      </c>
      <c r="H100" s="145">
        <f>1</f>
        <v>1</v>
      </c>
    </row>
    <row r="101" spans="2:11" s="12" customFormat="1">
      <c r="B101" s="146"/>
      <c r="D101" s="142" t="s">
        <v>95</v>
      </c>
      <c r="E101" s="147" t="s">
        <v>2</v>
      </c>
      <c r="F101" s="148" t="s">
        <v>96</v>
      </c>
      <c r="H101" s="149">
        <f>SUM(H98:H100)</f>
        <v>10</v>
      </c>
    </row>
    <row r="102" spans="2:11" s="349" customFormat="1" ht="24" customHeight="1">
      <c r="B102" s="348"/>
      <c r="C102" s="150">
        <f>C97+1</f>
        <v>7</v>
      </c>
      <c r="D102" s="150" t="s">
        <v>123</v>
      </c>
      <c r="E102" s="151" t="s">
        <v>2248</v>
      </c>
      <c r="F102" s="152" t="s">
        <v>2296</v>
      </c>
      <c r="G102" s="153" t="s">
        <v>265</v>
      </c>
      <c r="H102" s="154">
        <f>H104</f>
        <v>8</v>
      </c>
      <c r="I102" s="91"/>
      <c r="J102" s="155">
        <f>ROUND(I102*H102,2)</f>
        <v>0</v>
      </c>
      <c r="K102" s="152"/>
    </row>
    <row r="103" spans="2:11" s="11" customFormat="1">
      <c r="B103" s="141"/>
      <c r="D103" s="142" t="s">
        <v>95</v>
      </c>
      <c r="E103" s="143" t="s">
        <v>2</v>
      </c>
      <c r="F103" s="144" t="s">
        <v>2267</v>
      </c>
      <c r="H103" s="145">
        <f>8</f>
        <v>8</v>
      </c>
    </row>
    <row r="104" spans="2:11" s="12" customFormat="1">
      <c r="B104" s="146"/>
      <c r="D104" s="142" t="s">
        <v>95</v>
      </c>
      <c r="E104" s="147" t="s">
        <v>2</v>
      </c>
      <c r="F104" s="148" t="s">
        <v>96</v>
      </c>
      <c r="H104" s="149">
        <f>SUM(H103:H103)</f>
        <v>8</v>
      </c>
    </row>
    <row r="105" spans="2:11" s="349" customFormat="1" ht="24" customHeight="1">
      <c r="B105" s="348"/>
      <c r="C105" s="150">
        <f>C102+1</f>
        <v>8</v>
      </c>
      <c r="D105" s="150" t="s">
        <v>123</v>
      </c>
      <c r="E105" s="151" t="s">
        <v>2262</v>
      </c>
      <c r="F105" s="152" t="s">
        <v>2297</v>
      </c>
      <c r="G105" s="153" t="s">
        <v>265</v>
      </c>
      <c r="H105" s="154">
        <f>H107</f>
        <v>1</v>
      </c>
      <c r="I105" s="91"/>
      <c r="J105" s="155">
        <f>ROUND(I105*H105,2)</f>
        <v>0</v>
      </c>
      <c r="K105" s="152"/>
    </row>
    <row r="106" spans="2:11" s="11" customFormat="1">
      <c r="B106" s="141"/>
      <c r="D106" s="142" t="s">
        <v>95</v>
      </c>
      <c r="E106" s="143" t="s">
        <v>2</v>
      </c>
      <c r="F106" s="144" t="s">
        <v>2268</v>
      </c>
      <c r="H106" s="145">
        <f>1</f>
        <v>1</v>
      </c>
    </row>
    <row r="107" spans="2:11" s="12" customFormat="1">
      <c r="B107" s="146"/>
      <c r="D107" s="142" t="s">
        <v>95</v>
      </c>
      <c r="E107" s="147" t="s">
        <v>2</v>
      </c>
      <c r="F107" s="148" t="s">
        <v>96</v>
      </c>
      <c r="H107" s="149">
        <f>SUM(H106:H106)</f>
        <v>1</v>
      </c>
    </row>
    <row r="108" spans="2:11" s="349" customFormat="1" ht="27">
      <c r="B108" s="348"/>
      <c r="C108" s="150">
        <f>C105+1</f>
        <v>9</v>
      </c>
      <c r="D108" s="150" t="s">
        <v>123</v>
      </c>
      <c r="E108" s="151" t="s">
        <v>2263</v>
      </c>
      <c r="F108" s="152" t="s">
        <v>2301</v>
      </c>
      <c r="G108" s="153" t="s">
        <v>265</v>
      </c>
      <c r="H108" s="154">
        <f>H110</f>
        <v>1</v>
      </c>
      <c r="I108" s="91"/>
      <c r="J108" s="155">
        <f>ROUND(I108*H108,2)</f>
        <v>0</v>
      </c>
      <c r="K108" s="152"/>
    </row>
    <row r="109" spans="2:11" s="11" customFormat="1">
      <c r="B109" s="141"/>
      <c r="D109" s="142" t="s">
        <v>95</v>
      </c>
      <c r="E109" s="143" t="s">
        <v>2</v>
      </c>
      <c r="F109" s="144" t="s">
        <v>2269</v>
      </c>
      <c r="H109" s="145">
        <f>1</f>
        <v>1</v>
      </c>
    </row>
    <row r="110" spans="2:11" s="12" customFormat="1">
      <c r="B110" s="146"/>
      <c r="D110" s="142" t="s">
        <v>95</v>
      </c>
      <c r="E110" s="147" t="s">
        <v>2</v>
      </c>
      <c r="F110" s="148" t="s">
        <v>96</v>
      </c>
      <c r="H110" s="149">
        <f>SUM(H109:H109)</f>
        <v>1</v>
      </c>
    </row>
    <row r="111" spans="2:11" s="1" customFormat="1" ht="24" customHeight="1">
      <c r="B111" s="39"/>
      <c r="C111" s="135">
        <f>C108+1</f>
        <v>10</v>
      </c>
      <c r="D111" s="135" t="s">
        <v>65</v>
      </c>
      <c r="E111" s="136" t="s">
        <v>2270</v>
      </c>
      <c r="F111" s="137" t="s">
        <v>2271</v>
      </c>
      <c r="G111" s="138" t="s">
        <v>265</v>
      </c>
      <c r="H111" s="139">
        <f>H114</f>
        <v>36</v>
      </c>
      <c r="I111" s="90"/>
      <c r="J111" s="140">
        <f>ROUND(I111*H111,2)</f>
        <v>0</v>
      </c>
      <c r="K111" s="137"/>
    </row>
    <row r="112" spans="2:11" s="11" customFormat="1" ht="27">
      <c r="B112" s="141"/>
      <c r="D112" s="142" t="s">
        <v>95</v>
      </c>
      <c r="E112" s="143" t="s">
        <v>2</v>
      </c>
      <c r="F112" s="144" t="s">
        <v>2273</v>
      </c>
      <c r="H112" s="145">
        <f>35</f>
        <v>35</v>
      </c>
    </row>
    <row r="113" spans="2:11" s="11" customFormat="1" ht="27">
      <c r="B113" s="141"/>
      <c r="D113" s="142" t="s">
        <v>95</v>
      </c>
      <c r="E113" s="143" t="s">
        <v>2</v>
      </c>
      <c r="F113" s="144" t="s">
        <v>2272</v>
      </c>
      <c r="H113" s="145">
        <f>1</f>
        <v>1</v>
      </c>
    </row>
    <row r="114" spans="2:11" s="12" customFormat="1">
      <c r="B114" s="146"/>
      <c r="D114" s="142" t="s">
        <v>95</v>
      </c>
      <c r="E114" s="147" t="s">
        <v>2</v>
      </c>
      <c r="F114" s="148" t="s">
        <v>96</v>
      </c>
      <c r="H114" s="149">
        <f>SUM(H112:H113)</f>
        <v>36</v>
      </c>
    </row>
    <row r="115" spans="2:11" s="349" customFormat="1" ht="27">
      <c r="B115" s="348"/>
      <c r="C115" s="150">
        <f>C111+1</f>
        <v>11</v>
      </c>
      <c r="D115" s="150" t="s">
        <v>123</v>
      </c>
      <c r="E115" s="151" t="s">
        <v>2274</v>
      </c>
      <c r="F115" s="152" t="s">
        <v>2298</v>
      </c>
      <c r="G115" s="153" t="s">
        <v>265</v>
      </c>
      <c r="H115" s="154">
        <f>H117</f>
        <v>35</v>
      </c>
      <c r="I115" s="91"/>
      <c r="J115" s="155">
        <f>ROUND(I115*H115,2)</f>
        <v>0</v>
      </c>
      <c r="K115" s="152"/>
    </row>
    <row r="116" spans="2:11" s="11" customFormat="1">
      <c r="B116" s="141"/>
      <c r="D116" s="142" t="s">
        <v>95</v>
      </c>
      <c r="E116" s="143" t="s">
        <v>2</v>
      </c>
      <c r="F116" s="144" t="s">
        <v>2275</v>
      </c>
      <c r="H116" s="145">
        <f>35</f>
        <v>35</v>
      </c>
    </row>
    <row r="117" spans="2:11" s="12" customFormat="1">
      <c r="B117" s="146"/>
      <c r="D117" s="142" t="s">
        <v>95</v>
      </c>
      <c r="E117" s="147" t="s">
        <v>2</v>
      </c>
      <c r="F117" s="148" t="s">
        <v>96</v>
      </c>
      <c r="H117" s="149">
        <f>SUM(H116:H116)</f>
        <v>35</v>
      </c>
    </row>
    <row r="118" spans="2:11" s="349" customFormat="1" ht="27">
      <c r="B118" s="348"/>
      <c r="C118" s="150">
        <f>C115+1</f>
        <v>12</v>
      </c>
      <c r="D118" s="150" t="s">
        <v>123</v>
      </c>
      <c r="E118" s="151" t="s">
        <v>2276</v>
      </c>
      <c r="F118" s="152" t="s">
        <v>2299</v>
      </c>
      <c r="G118" s="153" t="s">
        <v>265</v>
      </c>
      <c r="H118" s="154">
        <f>H120</f>
        <v>1</v>
      </c>
      <c r="I118" s="91"/>
      <c r="J118" s="155">
        <f>ROUND(I118*H118,2)</f>
        <v>0</v>
      </c>
      <c r="K118" s="152"/>
    </row>
    <row r="119" spans="2:11" s="11" customFormat="1">
      <c r="B119" s="141"/>
      <c r="D119" s="142" t="s">
        <v>95</v>
      </c>
      <c r="E119" s="143" t="s">
        <v>2</v>
      </c>
      <c r="F119" s="144" t="s">
        <v>2277</v>
      </c>
      <c r="H119" s="145">
        <f>1</f>
        <v>1</v>
      </c>
    </row>
    <row r="120" spans="2:11" s="12" customFormat="1">
      <c r="B120" s="146"/>
      <c r="D120" s="142" t="s">
        <v>95</v>
      </c>
      <c r="E120" s="147" t="s">
        <v>2</v>
      </c>
      <c r="F120" s="148" t="s">
        <v>96</v>
      </c>
      <c r="H120" s="149">
        <f>SUM(H119:H119)</f>
        <v>1</v>
      </c>
    </row>
    <row r="121" spans="2:11" s="1" customFormat="1" ht="24" customHeight="1">
      <c r="B121" s="39"/>
      <c r="C121" s="135">
        <f>C118+1</f>
        <v>13</v>
      </c>
      <c r="D121" s="135" t="s">
        <v>65</v>
      </c>
      <c r="E121" s="136" t="s">
        <v>2278</v>
      </c>
      <c r="F121" s="137" t="s">
        <v>2279</v>
      </c>
      <c r="G121" s="138" t="s">
        <v>265</v>
      </c>
      <c r="H121" s="139">
        <f>H123</f>
        <v>36</v>
      </c>
      <c r="I121" s="90"/>
      <c r="J121" s="140">
        <f>ROUND(I121*H121,2)</f>
        <v>0</v>
      </c>
      <c r="K121" s="137"/>
    </row>
    <row r="122" spans="2:11" s="11" customFormat="1">
      <c r="B122" s="141"/>
      <c r="D122" s="142" t="s">
        <v>95</v>
      </c>
      <c r="E122" s="143" t="s">
        <v>2</v>
      </c>
      <c r="F122" s="144" t="s">
        <v>2280</v>
      </c>
      <c r="H122" s="145">
        <f>36</f>
        <v>36</v>
      </c>
    </row>
    <row r="123" spans="2:11" s="12" customFormat="1">
      <c r="B123" s="146"/>
      <c r="D123" s="142" t="s">
        <v>95</v>
      </c>
      <c r="E123" s="147" t="s">
        <v>2</v>
      </c>
      <c r="F123" s="148" t="s">
        <v>96</v>
      </c>
      <c r="H123" s="149">
        <f>SUM(H122:H122)</f>
        <v>36</v>
      </c>
    </row>
    <row r="124" spans="2:11" s="349" customFormat="1" ht="24" customHeight="1">
      <c r="B124" s="348"/>
      <c r="C124" s="150">
        <f>C121+1</f>
        <v>14</v>
      </c>
      <c r="D124" s="150" t="s">
        <v>123</v>
      </c>
      <c r="E124" s="151" t="s">
        <v>2281</v>
      </c>
      <c r="F124" s="152" t="s">
        <v>2300</v>
      </c>
      <c r="G124" s="153" t="s">
        <v>265</v>
      </c>
      <c r="H124" s="154">
        <f>H126</f>
        <v>36</v>
      </c>
      <c r="I124" s="91"/>
      <c r="J124" s="155">
        <f>ROUND(I124*H124,2)</f>
        <v>0</v>
      </c>
      <c r="K124" s="152"/>
    </row>
    <row r="125" spans="2:11" s="11" customFormat="1">
      <c r="B125" s="141"/>
      <c r="D125" s="142" t="s">
        <v>95</v>
      </c>
      <c r="E125" s="143" t="s">
        <v>2</v>
      </c>
      <c r="F125" s="144" t="s">
        <v>2280</v>
      </c>
      <c r="H125" s="145">
        <f>36</f>
        <v>36</v>
      </c>
    </row>
    <row r="126" spans="2:11" s="12" customFormat="1">
      <c r="B126" s="146"/>
      <c r="D126" s="142" t="s">
        <v>95</v>
      </c>
      <c r="E126" s="147" t="s">
        <v>2</v>
      </c>
      <c r="F126" s="148" t="s">
        <v>96</v>
      </c>
      <c r="H126" s="149">
        <f>SUM(H125:H125)</f>
        <v>36</v>
      </c>
    </row>
    <row r="127" spans="2:11" s="1" customFormat="1" ht="24" customHeight="1">
      <c r="B127" s="39"/>
      <c r="C127" s="135">
        <f>C124+1</f>
        <v>15</v>
      </c>
      <c r="D127" s="135" t="s">
        <v>65</v>
      </c>
      <c r="E127" s="136" t="s">
        <v>2282</v>
      </c>
      <c r="F127" s="137" t="s">
        <v>2283</v>
      </c>
      <c r="G127" s="138" t="s">
        <v>265</v>
      </c>
      <c r="H127" s="139">
        <f>H129</f>
        <v>1</v>
      </c>
      <c r="I127" s="90"/>
      <c r="J127" s="140">
        <f>ROUND(I127*H127,2)</f>
        <v>0</v>
      </c>
      <c r="K127" s="137"/>
    </row>
    <row r="128" spans="2:11" s="11" customFormat="1" ht="27">
      <c r="B128" s="141"/>
      <c r="D128" s="142" t="s">
        <v>95</v>
      </c>
      <c r="E128" s="143" t="s">
        <v>2</v>
      </c>
      <c r="F128" s="144" t="s">
        <v>2284</v>
      </c>
      <c r="H128" s="145">
        <f>1</f>
        <v>1</v>
      </c>
    </row>
    <row r="129" spans="2:11" s="12" customFormat="1">
      <c r="B129" s="146"/>
      <c r="D129" s="142" t="s">
        <v>95</v>
      </c>
      <c r="E129" s="147" t="s">
        <v>2</v>
      </c>
      <c r="F129" s="148" t="s">
        <v>96</v>
      </c>
      <c r="H129" s="149">
        <f>SUM(H128:H128)</f>
        <v>1</v>
      </c>
    </row>
    <row r="130" spans="2:11" s="349" customFormat="1" ht="24" customHeight="1">
      <c r="B130" s="348"/>
      <c r="C130" s="150">
        <f>C127+1</f>
        <v>16</v>
      </c>
      <c r="D130" s="150" t="s">
        <v>123</v>
      </c>
      <c r="E130" s="151" t="s">
        <v>2285</v>
      </c>
      <c r="F130" s="152" t="s">
        <v>2302</v>
      </c>
      <c r="G130" s="153" t="s">
        <v>265</v>
      </c>
      <c r="H130" s="154">
        <f>H132</f>
        <v>1</v>
      </c>
      <c r="I130" s="91"/>
      <c r="J130" s="155">
        <f>ROUND(I130*H130,2)</f>
        <v>0</v>
      </c>
      <c r="K130" s="152"/>
    </row>
    <row r="131" spans="2:11" s="11" customFormat="1" ht="27">
      <c r="B131" s="141"/>
      <c r="D131" s="142" t="s">
        <v>95</v>
      </c>
      <c r="E131" s="143" t="s">
        <v>2</v>
      </c>
      <c r="F131" s="144" t="s">
        <v>2284</v>
      </c>
      <c r="H131" s="145">
        <f>1</f>
        <v>1</v>
      </c>
    </row>
    <row r="132" spans="2:11" s="12" customFormat="1">
      <c r="B132" s="146"/>
      <c r="D132" s="142" t="s">
        <v>95</v>
      </c>
      <c r="E132" s="147" t="s">
        <v>2</v>
      </c>
      <c r="F132" s="148" t="s">
        <v>96</v>
      </c>
      <c r="H132" s="149">
        <f>SUM(H131:H131)</f>
        <v>1</v>
      </c>
    </row>
    <row r="133" spans="2:11" s="1" customFormat="1" ht="22.5" customHeight="1">
      <c r="B133" s="39"/>
      <c r="C133" s="135">
        <f>C130+1</f>
        <v>17</v>
      </c>
      <c r="D133" s="135" t="s">
        <v>65</v>
      </c>
      <c r="E133" s="136" t="s">
        <v>2289</v>
      </c>
      <c r="F133" s="137" t="s">
        <v>2288</v>
      </c>
      <c r="G133" s="138" t="s">
        <v>261</v>
      </c>
      <c r="H133" s="140">
        <f>SUM(J97:J132)</f>
        <v>0</v>
      </c>
      <c r="I133" s="90"/>
      <c r="J133" s="140">
        <f>ROUND(I133%*H133,2)</f>
        <v>0</v>
      </c>
      <c r="K133" s="137"/>
    </row>
    <row r="134" spans="2:11" s="1" customFormat="1" ht="6.95" customHeight="1">
      <c r="B134" s="51"/>
      <c r="C134" s="52"/>
      <c r="D134" s="52"/>
      <c r="E134" s="52"/>
      <c r="F134" s="52"/>
      <c r="G134" s="52"/>
      <c r="H134" s="52"/>
      <c r="I134" s="52"/>
      <c r="J134" s="52"/>
      <c r="K134" s="52"/>
    </row>
    <row r="138" spans="2:11" ht="27.75">
      <c r="F138" s="302"/>
    </row>
    <row r="143" spans="2:11">
      <c r="I143" s="87" t="s">
        <v>636</v>
      </c>
      <c r="J143" s="88">
        <f>SUM(J80:J133)/4</f>
        <v>0</v>
      </c>
      <c r="K143" s="89"/>
    </row>
    <row r="144" spans="2:11">
      <c r="I144" s="87" t="s">
        <v>637</v>
      </c>
      <c r="J144" s="88">
        <f>SUM(J57:J61)/3</f>
        <v>0</v>
      </c>
      <c r="K144" s="89"/>
    </row>
    <row r="145" spans="9:11">
      <c r="I145" s="87" t="s">
        <v>638</v>
      </c>
      <c r="J145" s="88">
        <f>J143-J144</f>
        <v>0</v>
      </c>
      <c r="K145" s="87" t="s">
        <v>639</v>
      </c>
    </row>
  </sheetData>
  <sheetProtection algorithmName="SHA-512" hashValue="gp5kBgnOzHgfCkW4jry5VcSeuR91zwtYoU5xcVbGsVZVjI7wYdxrmqRhr+QbCn9aX2btX7IFHcx4sTY69KeitQ==" saltValue="FdzhEjDRA5tE9GmwXZcdfQ==" spinCount="100000" sheet="1" objects="1" scenarios="1"/>
  <autoFilter ref="C79:K79" xr:uid="{00000000-0009-0000-0000-000001000000}"/>
  <mergeCells count="8">
    <mergeCell ref="E70:H70"/>
    <mergeCell ref="E72:H72"/>
    <mergeCell ref="G1:H1"/>
    <mergeCell ref="E7:H7"/>
    <mergeCell ref="E9:H9"/>
    <mergeCell ref="E25:H25"/>
    <mergeCell ref="E46:H46"/>
    <mergeCell ref="E48:H48"/>
  </mergeCells>
  <hyperlinks>
    <hyperlink ref="F1:G1" location="C2" tooltip="Krycí list soupisu" display="1) Krycí list soupisu" xr:uid="{136C770C-227E-4D0F-B6DC-9CB3C9E82E22}"/>
    <hyperlink ref="G1:H1" location="C54" tooltip="Rekapitulace" display="2) Rekapitulace" xr:uid="{3C945EA1-733B-4D70-9B2E-907E0E431954}"/>
    <hyperlink ref="J1" location="C77" tooltip="Soupis prací" display="3) Soupis prací" xr:uid="{7011B9D3-EBAA-4E33-9D8F-AD731B744386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B452-F1BB-4B54-A4EE-B55B20D2F6C1}">
  <sheetPr>
    <pageSetUpPr fitToPage="1"/>
  </sheetPr>
  <dimension ref="A1:O104"/>
  <sheetViews>
    <sheetView showGridLines="0" view="pageBreakPreview" topLeftCell="B1" zoomScaleNormal="100" zoomScaleSheetLayoutView="100" workbookViewId="0">
      <pane ySplit="1" topLeftCell="A57" activePane="bottomLeft" state="frozen"/>
      <selection activeCell="P8" sqref="P8"/>
      <selection pane="bottomLeft" activeCell="AD82" sqref="AD82"/>
    </sheetView>
  </sheetViews>
  <sheetFormatPr defaultRowHeight="13.5"/>
  <cols>
    <col min="1" max="1" width="8.33203125" hidden="1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4.5" customWidth="1"/>
    <col min="10" max="10" width="23.5" customWidth="1"/>
    <col min="11" max="11" width="15.5" customWidth="1"/>
    <col min="13" max="26" width="0" hidden="1" customWidth="1"/>
  </cols>
  <sheetData>
    <row r="1" spans="1:15" ht="21.75" hidden="1" customHeight="1">
      <c r="A1" s="15"/>
      <c r="B1" s="19"/>
      <c r="C1" s="19"/>
      <c r="D1" s="20" t="s">
        <v>1</v>
      </c>
      <c r="E1" s="19"/>
      <c r="F1" s="18" t="s">
        <v>308</v>
      </c>
      <c r="G1" s="424" t="s">
        <v>309</v>
      </c>
      <c r="H1" s="424"/>
      <c r="I1" s="19"/>
      <c r="J1" s="18" t="s">
        <v>310</v>
      </c>
      <c r="K1" s="20" t="s">
        <v>45</v>
      </c>
    </row>
    <row r="2" spans="1:15" ht="36.950000000000003" hidden="1" customHeight="1"/>
    <row r="3" spans="1:15" ht="6.95" customHeight="1">
      <c r="B3" s="27"/>
      <c r="C3" s="28"/>
      <c r="D3" s="28"/>
      <c r="E3" s="28"/>
      <c r="F3" s="28"/>
      <c r="G3" s="28"/>
      <c r="H3" s="28"/>
      <c r="I3" s="28"/>
      <c r="J3" s="28"/>
      <c r="K3" s="29"/>
    </row>
    <row r="4" spans="1:15" ht="36.950000000000003" customHeight="1">
      <c r="B4" s="30"/>
      <c r="D4" s="31" t="s">
        <v>46</v>
      </c>
      <c r="K4" s="32"/>
      <c r="M4" s="302"/>
      <c r="O4" s="302"/>
    </row>
    <row r="5" spans="1:15" ht="6.95" customHeight="1">
      <c r="B5" s="30"/>
      <c r="K5" s="32"/>
    </row>
    <row r="6" spans="1:15" ht="15">
      <c r="B6" s="30"/>
      <c r="D6" s="35" t="s">
        <v>5</v>
      </c>
      <c r="K6" s="32"/>
    </row>
    <row r="7" spans="1:15" ht="22.5" customHeight="1">
      <c r="B7" s="30"/>
      <c r="E7" s="423" t="str">
        <f>'Rekapitulace stavby'!K6</f>
        <v>Realizace výtahu a rekonstrukce navazujících prostor interiéru budovy Městského úřadu Smržovka</v>
      </c>
      <c r="F7" s="370"/>
      <c r="G7" s="370"/>
      <c r="H7" s="370"/>
      <c r="K7" s="32"/>
    </row>
    <row r="8" spans="1:15" s="1" customFormat="1" ht="15">
      <c r="B8" s="39"/>
      <c r="D8" s="35" t="s">
        <v>47</v>
      </c>
      <c r="K8" s="42"/>
    </row>
    <row r="9" spans="1:15" s="1" customFormat="1" ht="36.950000000000003" customHeight="1">
      <c r="B9" s="39"/>
      <c r="E9" s="382" t="s">
        <v>967</v>
      </c>
      <c r="F9" s="375"/>
      <c r="G9" s="375"/>
      <c r="H9" s="375"/>
      <c r="K9" s="42"/>
    </row>
    <row r="10" spans="1:15" s="1" customFormat="1">
      <c r="B10" s="39"/>
      <c r="K10" s="42"/>
    </row>
    <row r="11" spans="1:15" s="1" customFormat="1" ht="14.45" customHeight="1">
      <c r="B11" s="39"/>
      <c r="D11" s="35" t="s">
        <v>6</v>
      </c>
      <c r="F11" s="36" t="s">
        <v>7</v>
      </c>
      <c r="I11" s="35" t="s">
        <v>8</v>
      </c>
      <c r="J11" s="36" t="s">
        <v>2</v>
      </c>
      <c r="K11" s="42"/>
    </row>
    <row r="12" spans="1:15" s="1" customFormat="1" ht="14.45" customHeight="1">
      <c r="B12" s="39"/>
      <c r="D12" s="35" t="s">
        <v>10</v>
      </c>
      <c r="F12" s="36" t="str">
        <f>'Rekapitulace stavby'!L45</f>
        <v>č.p. 600, st.p.č. 1/1, k.ú. Smržovka [751324]</v>
      </c>
      <c r="I12" s="35" t="s">
        <v>11</v>
      </c>
      <c r="J12" s="92">
        <f>'Rekapitulace stavby'!AN8</f>
        <v>45743</v>
      </c>
      <c r="K12" s="42"/>
    </row>
    <row r="13" spans="1:15" s="1" customFormat="1" ht="10.9" customHeight="1">
      <c r="B13" s="39"/>
      <c r="K13" s="42"/>
    </row>
    <row r="14" spans="1:15" s="1" customFormat="1" ht="14.45" customHeight="1">
      <c r="B14" s="39"/>
      <c r="D14" s="35" t="s">
        <v>12</v>
      </c>
      <c r="I14" s="35" t="s">
        <v>13</v>
      </c>
      <c r="J14" s="36" t="str">
        <f>'Rekapitulace stavby'!AN10</f>
        <v>002 62 579</v>
      </c>
      <c r="K14" s="42"/>
    </row>
    <row r="15" spans="1:15" s="1" customFormat="1" ht="18" customHeight="1">
      <c r="B15" s="39"/>
      <c r="E15" s="36" t="str">
        <f>'Rekapitulace stavby'!E11</f>
        <v>Město Smržovka, nám. T.G.Masaryka č.p. 600, Smržovka, PSČ 46851</v>
      </c>
      <c r="I15" s="35" t="s">
        <v>14</v>
      </c>
      <c r="J15" s="36" t="str">
        <f>'Rekapitulace stavby'!AN11</f>
        <v>CZ00262579</v>
      </c>
      <c r="K15" s="42"/>
    </row>
    <row r="16" spans="1:15" s="1" customFormat="1" ht="6.95" customHeight="1">
      <c r="B16" s="39"/>
      <c r="K16" s="42"/>
    </row>
    <row r="17" spans="2:11" s="1" customFormat="1" ht="14.45" customHeight="1">
      <c r="B17" s="39"/>
      <c r="D17" s="35" t="s">
        <v>15</v>
      </c>
      <c r="I17" s="35" t="s">
        <v>13</v>
      </c>
      <c r="J17" s="36" t="str">
        <f>IF('Rekapitulace stavby'!AN13="Vyplň údaj","",IF('Rekapitulace stavby'!AN13="","",'Rekapitulace stavby'!AN13))</f>
        <v/>
      </c>
      <c r="K17" s="42"/>
    </row>
    <row r="18" spans="2:11" s="1" customFormat="1" ht="18" customHeight="1">
      <c r="B18" s="39"/>
      <c r="E18" s="36" t="str">
        <f>IF('Rekapitulace stavby'!E14="Vyplň údaj","",IF('Rekapitulace stavby'!E14="","",'Rekapitulace stavby'!E14))</f>
        <v xml:space="preserve"> </v>
      </c>
      <c r="I18" s="35" t="s">
        <v>14</v>
      </c>
      <c r="J18" s="36" t="str">
        <f>IF('Rekapitulace stavby'!AN14="Vyplň údaj","",IF('Rekapitulace stavby'!AN14="","",'Rekapitulace stavby'!AN14))</f>
        <v/>
      </c>
      <c r="K18" s="42"/>
    </row>
    <row r="19" spans="2:11" s="1" customFormat="1" ht="6.95" customHeight="1">
      <c r="B19" s="39"/>
      <c r="K19" s="42"/>
    </row>
    <row r="20" spans="2:11" s="1" customFormat="1" ht="14.45" customHeight="1">
      <c r="B20" s="39"/>
      <c r="D20" s="35" t="s">
        <v>17</v>
      </c>
      <c r="I20" s="35" t="s">
        <v>13</v>
      </c>
      <c r="J20" s="36" t="str">
        <f>'Rekapitulace stavby'!AN16</f>
        <v>120 45 357</v>
      </c>
      <c r="K20" s="42"/>
    </row>
    <row r="21" spans="2:11" s="1" customFormat="1" ht="18" customHeight="1">
      <c r="B21" s="39"/>
      <c r="E21" s="36" t="str">
        <f>'Rekapitulace stavby'!E17</f>
        <v>LHOTA - STAVITELSTVÍ</v>
      </c>
      <c r="I21" s="35" t="s">
        <v>14</v>
      </c>
      <c r="J21" s="36" t="s">
        <v>2</v>
      </c>
      <c r="K21" s="42"/>
    </row>
    <row r="22" spans="2:11" s="1" customFormat="1" ht="15">
      <c r="B22" s="39"/>
      <c r="E22" s="36" t="str">
        <f>'Rekapitulace stavby'!E18</f>
        <v>sdružení osob Bohumil Lhota a Ing. Vít Lhota, sídlo: Zásada 311, PSČ 46825</v>
      </c>
      <c r="I22" s="35"/>
      <c r="J22" s="36"/>
      <c r="K22" s="42"/>
    </row>
    <row r="23" spans="2:11" s="1" customFormat="1" ht="15">
      <c r="B23" s="39"/>
      <c r="E23" s="299" t="str">
        <f>'Rekapitulace stavby'!E19</f>
        <v>ateliér: Smetanova 1809/82, Jablonec nad Nisou, PSČ 46601</v>
      </c>
      <c r="K23" s="42"/>
    </row>
    <row r="24" spans="2:11" s="1" customFormat="1" ht="14.45" customHeight="1">
      <c r="B24" s="39"/>
      <c r="D24" s="35" t="s">
        <v>18</v>
      </c>
      <c r="K24" s="42"/>
    </row>
    <row r="25" spans="2:11" s="6" customFormat="1" ht="22.5" customHeight="1">
      <c r="B25" s="93"/>
      <c r="E25" s="371" t="str">
        <f>'Rekapitulace stavby'!E21:AN21</f>
        <v>Provedeno na základě předložené dokumentace "DSJ".</v>
      </c>
      <c r="F25" s="427"/>
      <c r="G25" s="427"/>
      <c r="H25" s="427"/>
      <c r="K25" s="94"/>
    </row>
    <row r="26" spans="2:11" s="1" customFormat="1" ht="6.95" customHeight="1">
      <c r="B26" s="39"/>
      <c r="K26" s="42"/>
    </row>
    <row r="27" spans="2:11" s="1" customFormat="1" ht="6.95" customHeight="1">
      <c r="B27" s="39"/>
      <c r="D27" s="61"/>
      <c r="E27" s="61"/>
      <c r="F27" s="61"/>
      <c r="G27" s="61"/>
      <c r="H27" s="61"/>
      <c r="I27" s="61"/>
      <c r="J27" s="61"/>
      <c r="K27" s="95"/>
    </row>
    <row r="28" spans="2:11" s="1" customFormat="1" ht="25.35" customHeight="1">
      <c r="B28" s="39"/>
      <c r="D28" s="96" t="s">
        <v>19</v>
      </c>
      <c r="J28" s="97">
        <f>ROUND(J79,2)</f>
        <v>0</v>
      </c>
      <c r="K28" s="42"/>
    </row>
    <row r="29" spans="2:11" s="1" customFormat="1" ht="6.95" customHeight="1">
      <c r="B29" s="39"/>
      <c r="D29" s="61"/>
      <c r="E29" s="61"/>
      <c r="F29" s="61"/>
      <c r="G29" s="61"/>
      <c r="H29" s="61"/>
      <c r="I29" s="61"/>
      <c r="J29" s="61"/>
      <c r="K29" s="95"/>
    </row>
    <row r="30" spans="2:11" s="1" customFormat="1" ht="14.45" customHeight="1">
      <c r="B30" s="39"/>
      <c r="F30" s="98" t="s">
        <v>21</v>
      </c>
      <c r="I30" s="98" t="s">
        <v>20</v>
      </c>
      <c r="J30" s="98" t="s">
        <v>22</v>
      </c>
      <c r="K30" s="42"/>
    </row>
    <row r="31" spans="2:11" s="1" customFormat="1" ht="14.45" customHeight="1">
      <c r="B31" s="39"/>
      <c r="D31" s="44" t="s">
        <v>23</v>
      </c>
      <c r="E31" s="44" t="s">
        <v>24</v>
      </c>
      <c r="F31" s="99">
        <f>ROUND(SUM(J28), 2)</f>
        <v>0</v>
      </c>
      <c r="I31" s="100">
        <v>0.21</v>
      </c>
      <c r="J31" s="99">
        <f>ROUND(ROUND((SUM(F31)), 2)*I31, 2)</f>
        <v>0</v>
      </c>
      <c r="K31" s="42"/>
    </row>
    <row r="32" spans="2:11" s="1" customFormat="1" ht="14.45" customHeight="1">
      <c r="B32" s="39"/>
      <c r="E32" s="44" t="s">
        <v>25</v>
      </c>
      <c r="F32" s="99">
        <v>0</v>
      </c>
      <c r="I32" s="100">
        <v>0.15</v>
      </c>
      <c r="J32" s="99">
        <f>ROUND(ROUND((SUM(F32)), 2)*I32, 2)</f>
        <v>0</v>
      </c>
      <c r="K32" s="42"/>
    </row>
    <row r="33" spans="2:11" s="1" customFormat="1" ht="14.45" hidden="1" customHeight="1">
      <c r="B33" s="39"/>
      <c r="E33" s="44" t="s">
        <v>26</v>
      </c>
      <c r="F33" s="99" t="e">
        <f>ROUND(SUM(#REF!), 2)</f>
        <v>#REF!</v>
      </c>
      <c r="I33" s="100">
        <v>0.21</v>
      </c>
      <c r="J33" s="99">
        <v>0</v>
      </c>
      <c r="K33" s="42"/>
    </row>
    <row r="34" spans="2:11" s="1" customFormat="1" ht="14.45" hidden="1" customHeight="1">
      <c r="B34" s="39"/>
      <c r="E34" s="44" t="s">
        <v>27</v>
      </c>
      <c r="F34" s="99" t="e">
        <f>ROUND(SUM(#REF!), 2)</f>
        <v>#REF!</v>
      </c>
      <c r="I34" s="100">
        <v>0.15</v>
      </c>
      <c r="J34" s="99">
        <v>0</v>
      </c>
      <c r="K34" s="42"/>
    </row>
    <row r="35" spans="2:11" s="1" customFormat="1" ht="14.45" hidden="1" customHeight="1">
      <c r="B35" s="39"/>
      <c r="E35" s="44" t="s">
        <v>28</v>
      </c>
      <c r="F35" s="99" t="e">
        <f>ROUND(SUM(#REF!), 2)</f>
        <v>#REF!</v>
      </c>
      <c r="I35" s="100">
        <v>0</v>
      </c>
      <c r="J35" s="99">
        <v>0</v>
      </c>
      <c r="K35" s="42"/>
    </row>
    <row r="36" spans="2:11" s="1" customFormat="1" ht="6.95" customHeight="1">
      <c r="B36" s="39"/>
      <c r="K36" s="42"/>
    </row>
    <row r="37" spans="2:11" s="1" customFormat="1" ht="25.35" customHeight="1">
      <c r="B37" s="39"/>
      <c r="C37" s="101"/>
      <c r="D37" s="102" t="s">
        <v>29</v>
      </c>
      <c r="E37" s="62"/>
      <c r="F37" s="62"/>
      <c r="G37" s="103" t="s">
        <v>30</v>
      </c>
      <c r="H37" s="104" t="s">
        <v>31</v>
      </c>
      <c r="I37" s="62"/>
      <c r="J37" s="105">
        <f>SUM(J28:J35)</f>
        <v>0</v>
      </c>
      <c r="K37" s="106"/>
    </row>
    <row r="38" spans="2:11" s="1" customFormat="1" ht="14.45" customHeight="1">
      <c r="B38" s="51"/>
      <c r="C38" s="52"/>
      <c r="D38" s="52"/>
      <c r="E38" s="52"/>
      <c r="F38" s="52"/>
      <c r="G38" s="52"/>
      <c r="H38" s="52"/>
      <c r="I38" s="52"/>
      <c r="J38" s="52"/>
      <c r="K38" s="53"/>
    </row>
    <row r="42" spans="2:11" s="1" customFormat="1" ht="6.95" customHeight="1">
      <c r="B42" s="54"/>
      <c r="C42" s="55"/>
      <c r="D42" s="55"/>
      <c r="E42" s="55"/>
      <c r="F42" s="55"/>
      <c r="G42" s="55"/>
      <c r="H42" s="55"/>
      <c r="I42" s="55"/>
      <c r="J42" s="55"/>
      <c r="K42" s="107"/>
    </row>
    <row r="43" spans="2:11" s="1" customFormat="1" ht="36.950000000000003" customHeight="1">
      <c r="B43" s="39"/>
      <c r="C43" s="31" t="s">
        <v>48</v>
      </c>
      <c r="K43" s="42"/>
    </row>
    <row r="44" spans="2:11" s="1" customFormat="1" ht="6.95" customHeight="1">
      <c r="B44" s="39"/>
      <c r="K44" s="42"/>
    </row>
    <row r="45" spans="2:11" s="1" customFormat="1" ht="14.45" customHeight="1">
      <c r="B45" s="39"/>
      <c r="C45" s="35" t="s">
        <v>5</v>
      </c>
      <c r="K45" s="42"/>
    </row>
    <row r="46" spans="2:11" s="1" customFormat="1" ht="22.5" customHeight="1">
      <c r="B46" s="39"/>
      <c r="E46" s="423" t="str">
        <f>E7</f>
        <v>Realizace výtahu a rekonstrukce navazujících prostor interiéru budovy Městského úřadu Smržovka</v>
      </c>
      <c r="F46" s="375"/>
      <c r="G46" s="375"/>
      <c r="H46" s="375"/>
      <c r="K46" s="42"/>
    </row>
    <row r="47" spans="2:11" s="1" customFormat="1" ht="14.45" customHeight="1">
      <c r="B47" s="39"/>
      <c r="C47" s="35" t="s">
        <v>47</v>
      </c>
      <c r="K47" s="42"/>
    </row>
    <row r="48" spans="2:11" s="1" customFormat="1" ht="23.25" customHeight="1">
      <c r="B48" s="39"/>
      <c r="E48" s="382" t="str">
        <f>E9</f>
        <v>TO 01 - Slaboproudá technika a vybavení</v>
      </c>
      <c r="F48" s="375"/>
      <c r="G48" s="375"/>
      <c r="H48" s="375"/>
      <c r="K48" s="42"/>
    </row>
    <row r="49" spans="2:11" s="1" customFormat="1" ht="6.95" customHeight="1">
      <c r="B49" s="39"/>
      <c r="K49" s="42"/>
    </row>
    <row r="50" spans="2:11" s="1" customFormat="1" ht="18" customHeight="1">
      <c r="B50" s="39"/>
      <c r="C50" s="35" t="s">
        <v>10</v>
      </c>
      <c r="F50" s="36" t="str">
        <f>F12</f>
        <v>č.p. 600, st.p.č. 1/1, k.ú. Smržovka [751324]</v>
      </c>
      <c r="I50" s="35" t="s">
        <v>11</v>
      </c>
      <c r="J50" s="92">
        <f>IF(J12="","",J12)</f>
        <v>45743</v>
      </c>
      <c r="K50" s="42"/>
    </row>
    <row r="51" spans="2:11" s="1" customFormat="1" ht="6.95" customHeight="1">
      <c r="B51" s="39"/>
      <c r="K51" s="42"/>
    </row>
    <row r="52" spans="2:11" s="1" customFormat="1" ht="15">
      <c r="B52" s="39"/>
      <c r="C52" s="35" t="s">
        <v>12</v>
      </c>
      <c r="F52" s="36" t="str">
        <f>E15</f>
        <v>Město Smržovka, nám. T.G.Masaryka č.p. 600, Smržovka, PSČ 46851</v>
      </c>
      <c r="I52" s="35" t="s">
        <v>17</v>
      </c>
      <c r="J52" s="36" t="str">
        <f>E21</f>
        <v>LHOTA - STAVITELSTVÍ</v>
      </c>
      <c r="K52" s="42"/>
    </row>
    <row r="53" spans="2:11" s="1" customFormat="1" ht="14.45" customHeight="1">
      <c r="B53" s="39"/>
      <c r="C53" s="35" t="s">
        <v>15</v>
      </c>
      <c r="F53" s="36" t="str">
        <f>IF(E18="","",E18)</f>
        <v xml:space="preserve"> </v>
      </c>
      <c r="K53" s="42"/>
    </row>
    <row r="54" spans="2:11" s="1" customFormat="1" ht="10.35" customHeight="1">
      <c r="B54" s="39"/>
      <c r="K54" s="42"/>
    </row>
    <row r="55" spans="2:11" s="1" customFormat="1" ht="29.25" customHeight="1">
      <c r="B55" s="39"/>
      <c r="C55" s="108" t="s">
        <v>49</v>
      </c>
      <c r="D55" s="101"/>
      <c r="E55" s="101"/>
      <c r="F55" s="101"/>
      <c r="G55" s="101"/>
      <c r="H55" s="101"/>
      <c r="I55" s="101"/>
      <c r="J55" s="109" t="s">
        <v>50</v>
      </c>
      <c r="K55" s="110"/>
    </row>
    <row r="56" spans="2:11" s="1" customFormat="1" ht="10.35" customHeight="1">
      <c r="B56" s="39"/>
      <c r="K56" s="42"/>
    </row>
    <row r="57" spans="2:11" s="1" customFormat="1" ht="29.25" customHeight="1">
      <c r="B57" s="39"/>
      <c r="C57" s="111" t="s">
        <v>51</v>
      </c>
      <c r="J57" s="97">
        <f>J79</f>
        <v>0</v>
      </c>
      <c r="K57" s="42"/>
    </row>
    <row r="58" spans="2:11" s="7" customFormat="1" ht="24.95" customHeight="1">
      <c r="B58" s="112"/>
      <c r="D58" s="113" t="s">
        <v>75</v>
      </c>
      <c r="E58" s="114"/>
      <c r="F58" s="114"/>
      <c r="G58" s="114"/>
      <c r="H58" s="114"/>
      <c r="I58" s="114"/>
      <c r="J58" s="115">
        <f>J80</f>
        <v>0</v>
      </c>
      <c r="K58" s="116"/>
    </row>
    <row r="59" spans="2:11" s="8" customFormat="1" ht="19.899999999999999" customHeight="1">
      <c r="B59" s="117"/>
      <c r="D59" s="118" t="s">
        <v>968</v>
      </c>
      <c r="E59" s="119"/>
      <c r="F59" s="119"/>
      <c r="G59" s="119"/>
      <c r="H59" s="119"/>
      <c r="I59" s="119"/>
      <c r="J59" s="120">
        <f>J81</f>
        <v>0</v>
      </c>
      <c r="K59" s="121"/>
    </row>
    <row r="60" spans="2:11" s="1" customFormat="1" ht="21.75" customHeight="1">
      <c r="B60" s="39"/>
      <c r="K60" s="42"/>
    </row>
    <row r="61" spans="2:11" s="1" customFormat="1" ht="6.95" customHeight="1">
      <c r="B61" s="51"/>
      <c r="C61" s="52"/>
      <c r="D61" s="52"/>
      <c r="E61" s="52"/>
      <c r="F61" s="52"/>
      <c r="G61" s="52"/>
      <c r="H61" s="52"/>
      <c r="I61" s="52"/>
      <c r="J61" s="52"/>
      <c r="K61" s="53"/>
    </row>
    <row r="65" spans="2:11" s="1" customFormat="1" ht="6.95" customHeight="1">
      <c r="B65" s="54"/>
      <c r="C65" s="55"/>
      <c r="D65" s="55"/>
      <c r="E65" s="55"/>
      <c r="F65" s="55"/>
      <c r="G65" s="55"/>
      <c r="H65" s="55"/>
      <c r="I65" s="55"/>
      <c r="J65" s="55"/>
      <c r="K65" s="55"/>
    </row>
    <row r="66" spans="2:11" s="1" customFormat="1" ht="36.950000000000003" customHeight="1">
      <c r="B66" s="39"/>
      <c r="C66" s="31" t="s">
        <v>54</v>
      </c>
    </row>
    <row r="67" spans="2:11" s="1" customFormat="1" ht="6.95" customHeight="1">
      <c r="B67" s="39"/>
    </row>
    <row r="68" spans="2:11" s="1" customFormat="1" ht="14.45" customHeight="1">
      <c r="B68" s="39"/>
      <c r="C68" s="35" t="s">
        <v>5</v>
      </c>
    </row>
    <row r="69" spans="2:11" s="1" customFormat="1" ht="22.5" customHeight="1">
      <c r="B69" s="39"/>
      <c r="E69" s="423" t="str">
        <f>E7</f>
        <v>Realizace výtahu a rekonstrukce navazujících prostor interiéru budovy Městského úřadu Smržovka</v>
      </c>
      <c r="F69" s="375"/>
      <c r="G69" s="375"/>
      <c r="H69" s="375"/>
    </row>
    <row r="70" spans="2:11" s="1" customFormat="1" ht="14.45" customHeight="1">
      <c r="B70" s="39"/>
      <c r="C70" s="35" t="s">
        <v>47</v>
      </c>
    </row>
    <row r="71" spans="2:11" s="1" customFormat="1" ht="23.25" customHeight="1">
      <c r="B71" s="39"/>
      <c r="E71" s="382" t="str">
        <f>E9</f>
        <v>TO 01 - Slaboproudá technika a vybavení</v>
      </c>
      <c r="F71" s="375"/>
      <c r="G71" s="375"/>
      <c r="H71" s="375"/>
    </row>
    <row r="72" spans="2:11" s="1" customFormat="1" ht="6.95" customHeight="1">
      <c r="B72" s="39"/>
    </row>
    <row r="73" spans="2:11" s="1" customFormat="1" ht="18" customHeight="1">
      <c r="B73" s="39"/>
      <c r="C73" s="35" t="s">
        <v>10</v>
      </c>
      <c r="F73" s="36" t="str">
        <f>F12</f>
        <v>č.p. 600, st.p.č. 1/1, k.ú. Smržovka [751324]</v>
      </c>
      <c r="I73" s="35" t="s">
        <v>11</v>
      </c>
      <c r="J73" s="92">
        <f>IF(J12="","",J12)</f>
        <v>45743</v>
      </c>
    </row>
    <row r="74" spans="2:11" s="1" customFormat="1" ht="6.95" customHeight="1">
      <c r="B74" s="39"/>
    </row>
    <row r="75" spans="2:11" s="1" customFormat="1" ht="15">
      <c r="B75" s="39"/>
      <c r="C75" s="35" t="s">
        <v>12</v>
      </c>
      <c r="F75" s="36" t="str">
        <f>E15</f>
        <v>Město Smržovka, nám. T.G.Masaryka č.p. 600, Smržovka, PSČ 46851</v>
      </c>
      <c r="I75" s="35" t="s">
        <v>17</v>
      </c>
      <c r="J75" s="36" t="str">
        <f>E21</f>
        <v>LHOTA - STAVITELSTVÍ</v>
      </c>
    </row>
    <row r="76" spans="2:11" s="1" customFormat="1" ht="14.45" customHeight="1">
      <c r="B76" s="39"/>
      <c r="C76" s="35" t="s">
        <v>15</v>
      </c>
      <c r="F76" s="36" t="str">
        <f>IF(E18="","",E18)</f>
        <v xml:space="preserve"> </v>
      </c>
    </row>
    <row r="77" spans="2:11" s="1" customFormat="1" ht="10.35" customHeight="1">
      <c r="B77" s="39"/>
    </row>
    <row r="78" spans="2:11" s="9" customFormat="1" ht="29.25" customHeight="1">
      <c r="B78" s="122"/>
      <c r="C78" s="123" t="s">
        <v>55</v>
      </c>
      <c r="D78" s="124" t="s">
        <v>37</v>
      </c>
      <c r="E78" s="124" t="s">
        <v>33</v>
      </c>
      <c r="F78" s="124" t="s">
        <v>56</v>
      </c>
      <c r="G78" s="124" t="s">
        <v>57</v>
      </c>
      <c r="H78" s="124" t="s">
        <v>58</v>
      </c>
      <c r="I78" s="125" t="s">
        <v>59</v>
      </c>
      <c r="J78" s="124" t="s">
        <v>50</v>
      </c>
      <c r="K78" s="126" t="s">
        <v>60</v>
      </c>
    </row>
    <row r="79" spans="2:11" s="1" customFormat="1" ht="29.25" customHeight="1">
      <c r="B79" s="39"/>
      <c r="C79" s="64" t="s">
        <v>51</v>
      </c>
      <c r="J79" s="127">
        <f>J80</f>
        <v>0</v>
      </c>
    </row>
    <row r="80" spans="2:11" s="10" customFormat="1" ht="24" customHeight="1">
      <c r="B80" s="128"/>
      <c r="D80" s="129" t="s">
        <v>39</v>
      </c>
      <c r="E80" s="130" t="s">
        <v>206</v>
      </c>
      <c r="F80" s="130" t="s">
        <v>207</v>
      </c>
      <c r="J80" s="131">
        <f>J81</f>
        <v>0</v>
      </c>
    </row>
    <row r="81" spans="2:11" s="10" customFormat="1" ht="19.899999999999999" customHeight="1">
      <c r="B81" s="128"/>
      <c r="D81" s="129" t="s">
        <v>39</v>
      </c>
      <c r="E81" s="133">
        <v>1</v>
      </c>
      <c r="F81" s="133" t="s">
        <v>969</v>
      </c>
      <c r="J81" s="134">
        <f>SUM(J82:J92)</f>
        <v>0</v>
      </c>
    </row>
    <row r="82" spans="2:11" s="1" customFormat="1" ht="22.5" customHeight="1">
      <c r="B82" s="39"/>
      <c r="C82" s="135">
        <v>1</v>
      </c>
      <c r="D82" s="135"/>
      <c r="E82" s="136" t="s">
        <v>2290</v>
      </c>
      <c r="F82" s="137" t="s">
        <v>2303</v>
      </c>
      <c r="G82" s="138" t="s">
        <v>2291</v>
      </c>
      <c r="H82" s="139">
        <f>H92</f>
        <v>1</v>
      </c>
      <c r="I82" s="90"/>
      <c r="J82" s="140">
        <f>ROUND(I82*H82,2)</f>
        <v>0</v>
      </c>
      <c r="K82" s="137"/>
    </row>
    <row r="83" spans="2:11" s="11" customFormat="1">
      <c r="B83" s="141"/>
      <c r="D83" s="142" t="s">
        <v>95</v>
      </c>
      <c r="E83" s="143" t="s">
        <v>2</v>
      </c>
      <c r="F83" s="144" t="s">
        <v>2292</v>
      </c>
      <c r="H83" s="145">
        <f>1</f>
        <v>1</v>
      </c>
    </row>
    <row r="84" spans="2:11" s="11" customFormat="1">
      <c r="B84" s="141"/>
      <c r="D84" s="142"/>
      <c r="E84" s="143"/>
      <c r="F84" s="144" t="s">
        <v>2304</v>
      </c>
      <c r="H84" s="145"/>
    </row>
    <row r="85" spans="2:11" s="11" customFormat="1" ht="27">
      <c r="B85" s="141"/>
      <c r="D85" s="142"/>
      <c r="E85" s="143"/>
      <c r="F85" s="144" t="s">
        <v>2305</v>
      </c>
      <c r="H85" s="145"/>
    </row>
    <row r="86" spans="2:11" s="11" customFormat="1">
      <c r="B86" s="141"/>
      <c r="D86" s="142"/>
      <c r="E86" s="143"/>
      <c r="F86" s="144" t="s">
        <v>2314</v>
      </c>
      <c r="H86" s="145"/>
    </row>
    <row r="87" spans="2:11" s="11" customFormat="1">
      <c r="B87" s="141"/>
      <c r="D87" s="142"/>
      <c r="E87" s="143"/>
      <c r="F87" s="144" t="s">
        <v>2315</v>
      </c>
      <c r="H87" s="145"/>
    </row>
    <row r="88" spans="2:11" s="11" customFormat="1">
      <c r="B88" s="141"/>
      <c r="D88" s="142"/>
      <c r="E88" s="143"/>
      <c r="F88" s="144" t="s">
        <v>2316</v>
      </c>
      <c r="H88" s="145"/>
    </row>
    <row r="89" spans="2:11" s="11" customFormat="1">
      <c r="B89" s="141"/>
      <c r="D89" s="142"/>
      <c r="E89" s="143"/>
      <c r="F89" s="144" t="s">
        <v>2317</v>
      </c>
      <c r="H89" s="145"/>
    </row>
    <row r="90" spans="2:11" s="11" customFormat="1">
      <c r="B90" s="141"/>
      <c r="D90" s="142"/>
      <c r="E90" s="143"/>
      <c r="F90" s="144" t="s">
        <v>2318</v>
      </c>
      <c r="H90" s="145"/>
    </row>
    <row r="91" spans="2:11" s="11" customFormat="1">
      <c r="B91" s="141"/>
      <c r="D91" s="142"/>
      <c r="E91" s="143"/>
      <c r="F91" s="144" t="s">
        <v>2319</v>
      </c>
      <c r="H91" s="145"/>
    </row>
    <row r="92" spans="2:11" s="12" customFormat="1">
      <c r="B92" s="146"/>
      <c r="D92" s="142" t="s">
        <v>95</v>
      </c>
      <c r="E92" s="147" t="s">
        <v>2</v>
      </c>
      <c r="F92" s="148" t="s">
        <v>96</v>
      </c>
      <c r="H92" s="149">
        <f>SUM(H83:H83)</f>
        <v>1</v>
      </c>
    </row>
    <row r="93" spans="2:11" s="1" customFormat="1" ht="6.95" customHeight="1">
      <c r="B93" s="51"/>
      <c r="C93" s="52"/>
      <c r="D93" s="52"/>
      <c r="E93" s="52"/>
      <c r="F93" s="52"/>
      <c r="G93" s="52"/>
      <c r="H93" s="52"/>
      <c r="I93" s="52"/>
      <c r="J93" s="52"/>
      <c r="K93" s="52"/>
    </row>
    <row r="97" spans="6:11" ht="27.75">
      <c r="F97" s="302"/>
    </row>
    <row r="102" spans="6:11">
      <c r="I102" s="87" t="s">
        <v>636</v>
      </c>
      <c r="J102" s="88">
        <f>SUM(J79:J92)/4</f>
        <v>0</v>
      </c>
      <c r="K102" s="89"/>
    </row>
    <row r="103" spans="6:11">
      <c r="I103" s="87" t="s">
        <v>637</v>
      </c>
      <c r="J103" s="88">
        <f>SUM(J57:J60)/3</f>
        <v>0</v>
      </c>
      <c r="K103" s="89"/>
    </row>
    <row r="104" spans="6:11">
      <c r="I104" s="87" t="s">
        <v>638</v>
      </c>
      <c r="J104" s="88">
        <f>J102-J103</f>
        <v>0</v>
      </c>
      <c r="K104" s="87" t="s">
        <v>639</v>
      </c>
    </row>
  </sheetData>
  <sheetProtection algorithmName="SHA-512" hashValue="ednIbroJrlewMtOZSynb+uID9F1laSYsxN3i8gAb7fMRr8ZjMgJL7fkbvzpfvRKsCO1Brzua4C0KIXAis7pHvA==" saltValue="F4n+t3O1dOz3+ZHAP+eujw==" spinCount="100000" sheet="1" objects="1" scenarios="1"/>
  <autoFilter ref="C78:K78" xr:uid="{00000000-0009-0000-0000-000001000000}"/>
  <mergeCells count="8">
    <mergeCell ref="E69:H69"/>
    <mergeCell ref="E71:H71"/>
    <mergeCell ref="G1:H1"/>
    <mergeCell ref="E7:H7"/>
    <mergeCell ref="E9:H9"/>
    <mergeCell ref="E25:H25"/>
    <mergeCell ref="E46:H46"/>
    <mergeCell ref="E48:H48"/>
  </mergeCells>
  <hyperlinks>
    <hyperlink ref="F1:G1" location="C2" tooltip="Krycí list soupisu" display="1) Krycí list soupisu" xr:uid="{41AE8830-E219-460F-A515-D1B648325FF5}"/>
    <hyperlink ref="G1:H1" location="C54" tooltip="Rekapitulace" display="2) Rekapitulace" xr:uid="{6BF969B6-25BC-4C1C-926F-D1B31F66A566}"/>
    <hyperlink ref="J1" location="C77" tooltip="Soupis prací" display="3) Soupis prací" xr:uid="{B5E6CD79-2BAB-45A8-B32E-0EABA35A40DB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C6888-EEEB-446A-9B02-9842CEE1E6CE}">
  <sheetPr>
    <pageSetUpPr fitToPage="1"/>
  </sheetPr>
  <dimension ref="A1:O94"/>
  <sheetViews>
    <sheetView showGridLines="0" view="pageBreakPreview" topLeftCell="B1" zoomScaleNormal="100" zoomScaleSheetLayoutView="100" workbookViewId="0">
      <pane ySplit="1" topLeftCell="A54" activePane="bottomLeft" state="frozen"/>
      <selection activeCell="P8" sqref="P8"/>
      <selection pane="bottomLeft" activeCell="I82" sqref="I82"/>
    </sheetView>
  </sheetViews>
  <sheetFormatPr defaultRowHeight="13.5"/>
  <cols>
    <col min="1" max="1" width="8.33203125" hidden="1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4.5" customWidth="1"/>
    <col min="10" max="10" width="23.5" customWidth="1"/>
    <col min="11" max="11" width="15.5" customWidth="1"/>
    <col min="13" max="26" width="0" hidden="1" customWidth="1"/>
  </cols>
  <sheetData>
    <row r="1" spans="1:15" ht="21.75" hidden="1" customHeight="1">
      <c r="A1" s="15"/>
      <c r="B1" s="19"/>
      <c r="C1" s="19"/>
      <c r="D1" s="20" t="s">
        <v>1</v>
      </c>
      <c r="E1" s="19"/>
      <c r="F1" s="18" t="s">
        <v>308</v>
      </c>
      <c r="G1" s="424" t="s">
        <v>309</v>
      </c>
      <c r="H1" s="424"/>
      <c r="I1" s="19"/>
      <c r="J1" s="18" t="s">
        <v>310</v>
      </c>
      <c r="K1" s="20" t="s">
        <v>45</v>
      </c>
    </row>
    <row r="2" spans="1:15" ht="36.950000000000003" hidden="1" customHeight="1"/>
    <row r="3" spans="1:15" ht="6.95" customHeight="1">
      <c r="B3" s="27"/>
      <c r="C3" s="28"/>
      <c r="D3" s="28"/>
      <c r="E3" s="28"/>
      <c r="F3" s="28"/>
      <c r="G3" s="28"/>
      <c r="H3" s="28"/>
      <c r="I3" s="28"/>
      <c r="J3" s="28"/>
      <c r="K3" s="29"/>
    </row>
    <row r="4" spans="1:15" ht="36.950000000000003" customHeight="1">
      <c r="B4" s="30"/>
      <c r="D4" s="31" t="s">
        <v>46</v>
      </c>
      <c r="K4" s="32"/>
      <c r="M4" s="302"/>
      <c r="O4" s="302"/>
    </row>
    <row r="5" spans="1:15" ht="6.95" customHeight="1">
      <c r="B5" s="30"/>
      <c r="K5" s="32"/>
    </row>
    <row r="6" spans="1:15" ht="15">
      <c r="B6" s="30"/>
      <c r="D6" s="35" t="s">
        <v>5</v>
      </c>
      <c r="K6" s="32"/>
    </row>
    <row r="7" spans="1:15" ht="22.5" customHeight="1">
      <c r="B7" s="30"/>
      <c r="E7" s="423" t="str">
        <f>'Rekapitulace stavby'!K6</f>
        <v>Realizace výtahu a rekonstrukce navazujících prostor interiéru budovy Městského úřadu Smržovka</v>
      </c>
      <c r="F7" s="370"/>
      <c r="G7" s="370"/>
      <c r="H7" s="370"/>
      <c r="K7" s="32"/>
    </row>
    <row r="8" spans="1:15" s="1" customFormat="1" ht="15">
      <c r="B8" s="39"/>
      <c r="D8" s="35" t="s">
        <v>47</v>
      </c>
      <c r="K8" s="42"/>
    </row>
    <row r="9" spans="1:15" s="1" customFormat="1" ht="36.950000000000003" customHeight="1">
      <c r="B9" s="39"/>
      <c r="E9" s="382" t="s">
        <v>970</v>
      </c>
      <c r="F9" s="375"/>
      <c r="G9" s="375"/>
      <c r="H9" s="375"/>
      <c r="K9" s="42"/>
    </row>
    <row r="10" spans="1:15" s="1" customFormat="1">
      <c r="B10" s="39"/>
      <c r="K10" s="42"/>
    </row>
    <row r="11" spans="1:15" s="1" customFormat="1" ht="14.45" customHeight="1">
      <c r="B11" s="39"/>
      <c r="D11" s="35" t="s">
        <v>6</v>
      </c>
      <c r="F11" s="36" t="s">
        <v>7</v>
      </c>
      <c r="I11" s="35" t="s">
        <v>8</v>
      </c>
      <c r="J11" s="36" t="s">
        <v>2</v>
      </c>
      <c r="K11" s="42"/>
    </row>
    <row r="12" spans="1:15" s="1" customFormat="1" ht="14.45" customHeight="1">
      <c r="B12" s="39"/>
      <c r="D12" s="35" t="s">
        <v>10</v>
      </c>
      <c r="F12" s="36" t="str">
        <f>'Rekapitulace stavby'!L45</f>
        <v>č.p. 600, st.p.č. 1/1, k.ú. Smržovka [751324]</v>
      </c>
      <c r="I12" s="35" t="s">
        <v>11</v>
      </c>
      <c r="J12" s="92">
        <f>'Rekapitulace stavby'!AN8</f>
        <v>45743</v>
      </c>
      <c r="K12" s="42"/>
    </row>
    <row r="13" spans="1:15" s="1" customFormat="1" ht="10.9" customHeight="1">
      <c r="B13" s="39"/>
      <c r="K13" s="42"/>
    </row>
    <row r="14" spans="1:15" s="1" customFormat="1" ht="14.45" customHeight="1">
      <c r="B14" s="39"/>
      <c r="D14" s="35" t="s">
        <v>12</v>
      </c>
      <c r="I14" s="35" t="s">
        <v>13</v>
      </c>
      <c r="J14" s="36" t="str">
        <f>'Rekapitulace stavby'!AN10</f>
        <v>002 62 579</v>
      </c>
      <c r="K14" s="42"/>
    </row>
    <row r="15" spans="1:15" s="1" customFormat="1" ht="18" customHeight="1">
      <c r="B15" s="39"/>
      <c r="E15" s="36" t="str">
        <f>'Rekapitulace stavby'!E11</f>
        <v>Město Smržovka, nám. T.G.Masaryka č.p. 600, Smržovka, PSČ 46851</v>
      </c>
      <c r="I15" s="35" t="s">
        <v>14</v>
      </c>
      <c r="J15" s="36" t="str">
        <f>'Rekapitulace stavby'!AN11</f>
        <v>CZ00262579</v>
      </c>
      <c r="K15" s="42"/>
    </row>
    <row r="16" spans="1:15" s="1" customFormat="1" ht="6.95" customHeight="1">
      <c r="B16" s="39"/>
      <c r="K16" s="42"/>
    </row>
    <row r="17" spans="2:11" s="1" customFormat="1" ht="14.45" customHeight="1">
      <c r="B17" s="39"/>
      <c r="D17" s="35" t="s">
        <v>15</v>
      </c>
      <c r="I17" s="35" t="s">
        <v>13</v>
      </c>
      <c r="J17" s="36" t="str">
        <f>IF('Rekapitulace stavby'!AN13="Vyplň údaj","",IF('Rekapitulace stavby'!AN13="","",'Rekapitulace stavby'!AN13))</f>
        <v/>
      </c>
      <c r="K17" s="42"/>
    </row>
    <row r="18" spans="2:11" s="1" customFormat="1" ht="18" customHeight="1">
      <c r="B18" s="39"/>
      <c r="E18" s="36" t="str">
        <f>IF('Rekapitulace stavby'!E14="Vyplň údaj","",IF('Rekapitulace stavby'!E14="","",'Rekapitulace stavby'!E14))</f>
        <v xml:space="preserve"> </v>
      </c>
      <c r="I18" s="35" t="s">
        <v>14</v>
      </c>
      <c r="J18" s="36" t="str">
        <f>IF('Rekapitulace stavby'!AN14="Vyplň údaj","",IF('Rekapitulace stavby'!AN14="","",'Rekapitulace stavby'!AN14))</f>
        <v/>
      </c>
      <c r="K18" s="42"/>
    </row>
    <row r="19" spans="2:11" s="1" customFormat="1" ht="6.95" customHeight="1">
      <c r="B19" s="39"/>
      <c r="K19" s="42"/>
    </row>
    <row r="20" spans="2:11" s="1" customFormat="1" ht="14.45" customHeight="1">
      <c r="B20" s="39"/>
      <c r="D20" s="35" t="s">
        <v>17</v>
      </c>
      <c r="I20" s="35" t="s">
        <v>13</v>
      </c>
      <c r="J20" s="36" t="str">
        <f>'Rekapitulace stavby'!AN16</f>
        <v>120 45 357</v>
      </c>
      <c r="K20" s="42"/>
    </row>
    <row r="21" spans="2:11" s="1" customFormat="1" ht="18" customHeight="1">
      <c r="B21" s="39"/>
      <c r="E21" s="36" t="str">
        <f>'Rekapitulace stavby'!E17</f>
        <v>LHOTA - STAVITELSTVÍ</v>
      </c>
      <c r="I21" s="35" t="s">
        <v>14</v>
      </c>
      <c r="J21" s="36" t="s">
        <v>2</v>
      </c>
      <c r="K21" s="42"/>
    </row>
    <row r="22" spans="2:11" s="1" customFormat="1" ht="15">
      <c r="B22" s="39"/>
      <c r="E22" s="36" t="str">
        <f>'Rekapitulace stavby'!E18</f>
        <v>sdružení osob Bohumil Lhota a Ing. Vít Lhota, sídlo: Zásada 311, PSČ 46825</v>
      </c>
      <c r="I22" s="35"/>
      <c r="J22" s="36"/>
      <c r="K22" s="42"/>
    </row>
    <row r="23" spans="2:11" s="1" customFormat="1" ht="15">
      <c r="B23" s="39"/>
      <c r="E23" s="299" t="str">
        <f>'Rekapitulace stavby'!E19</f>
        <v>ateliér: Smetanova 1809/82, Jablonec nad Nisou, PSČ 46601</v>
      </c>
      <c r="K23" s="42"/>
    </row>
    <row r="24" spans="2:11" s="1" customFormat="1" ht="14.45" customHeight="1">
      <c r="B24" s="39"/>
      <c r="D24" s="35" t="s">
        <v>18</v>
      </c>
      <c r="K24" s="42"/>
    </row>
    <row r="25" spans="2:11" s="6" customFormat="1" ht="22.5" customHeight="1">
      <c r="B25" s="93"/>
      <c r="E25" s="371" t="str">
        <f>'Rekapitulace stavby'!E21:AN21</f>
        <v>Provedeno na základě předložené dokumentace "DSJ".</v>
      </c>
      <c r="F25" s="427"/>
      <c r="G25" s="427"/>
      <c r="H25" s="427"/>
      <c r="K25" s="94"/>
    </row>
    <row r="26" spans="2:11" s="1" customFormat="1" ht="6.95" customHeight="1">
      <c r="B26" s="39"/>
      <c r="K26" s="42"/>
    </row>
    <row r="27" spans="2:11" s="1" customFormat="1" ht="6.95" customHeight="1">
      <c r="B27" s="39"/>
      <c r="D27" s="61"/>
      <c r="E27" s="61"/>
      <c r="F27" s="61"/>
      <c r="G27" s="61"/>
      <c r="H27" s="61"/>
      <c r="I27" s="61"/>
      <c r="J27" s="61"/>
      <c r="K27" s="95"/>
    </row>
    <row r="28" spans="2:11" s="1" customFormat="1" ht="25.35" customHeight="1">
      <c r="B28" s="39"/>
      <c r="D28" s="96" t="s">
        <v>19</v>
      </c>
      <c r="J28" s="97">
        <f>ROUND(J79,2)</f>
        <v>0</v>
      </c>
      <c r="K28" s="42"/>
    </row>
    <row r="29" spans="2:11" s="1" customFormat="1" ht="6.95" customHeight="1">
      <c r="B29" s="39"/>
      <c r="D29" s="61"/>
      <c r="E29" s="61"/>
      <c r="F29" s="61"/>
      <c r="G29" s="61"/>
      <c r="H29" s="61"/>
      <c r="I29" s="61"/>
      <c r="J29" s="61"/>
      <c r="K29" s="95"/>
    </row>
    <row r="30" spans="2:11" s="1" customFormat="1" ht="14.45" customHeight="1">
      <c r="B30" s="39"/>
      <c r="F30" s="98" t="s">
        <v>21</v>
      </c>
      <c r="I30" s="98" t="s">
        <v>20</v>
      </c>
      <c r="J30" s="98" t="s">
        <v>22</v>
      </c>
      <c r="K30" s="42"/>
    </row>
    <row r="31" spans="2:11" s="1" customFormat="1" ht="14.45" customHeight="1">
      <c r="B31" s="39"/>
      <c r="D31" s="44" t="s">
        <v>23</v>
      </c>
      <c r="E31" s="44" t="s">
        <v>24</v>
      </c>
      <c r="F31" s="99">
        <f>ROUND(SUM(J28), 2)</f>
        <v>0</v>
      </c>
      <c r="I31" s="100">
        <v>0.21</v>
      </c>
      <c r="J31" s="99">
        <f>ROUND(ROUND((SUM(F31)), 2)*I31, 2)</f>
        <v>0</v>
      </c>
      <c r="K31" s="42"/>
    </row>
    <row r="32" spans="2:11" s="1" customFormat="1" ht="14.45" customHeight="1">
      <c r="B32" s="39"/>
      <c r="E32" s="44" t="s">
        <v>25</v>
      </c>
      <c r="F32" s="99">
        <v>0</v>
      </c>
      <c r="I32" s="100">
        <v>0.15</v>
      </c>
      <c r="J32" s="99">
        <f>ROUND(ROUND((SUM(F32)), 2)*I32, 2)</f>
        <v>0</v>
      </c>
      <c r="K32" s="42"/>
    </row>
    <row r="33" spans="2:11" s="1" customFormat="1" ht="14.45" hidden="1" customHeight="1">
      <c r="B33" s="39"/>
      <c r="E33" s="44" t="s">
        <v>26</v>
      </c>
      <c r="F33" s="99" t="e">
        <f>ROUND(SUM(#REF!), 2)</f>
        <v>#REF!</v>
      </c>
      <c r="I33" s="100">
        <v>0.21</v>
      </c>
      <c r="J33" s="99">
        <v>0</v>
      </c>
      <c r="K33" s="42"/>
    </row>
    <row r="34" spans="2:11" s="1" customFormat="1" ht="14.45" hidden="1" customHeight="1">
      <c r="B34" s="39"/>
      <c r="E34" s="44" t="s">
        <v>27</v>
      </c>
      <c r="F34" s="99" t="e">
        <f>ROUND(SUM(#REF!), 2)</f>
        <v>#REF!</v>
      </c>
      <c r="I34" s="100">
        <v>0.15</v>
      </c>
      <c r="J34" s="99">
        <v>0</v>
      </c>
      <c r="K34" s="42"/>
    </row>
    <row r="35" spans="2:11" s="1" customFormat="1" ht="14.45" hidden="1" customHeight="1">
      <c r="B35" s="39"/>
      <c r="E35" s="44" t="s">
        <v>28</v>
      </c>
      <c r="F35" s="99" t="e">
        <f>ROUND(SUM(#REF!), 2)</f>
        <v>#REF!</v>
      </c>
      <c r="I35" s="100">
        <v>0</v>
      </c>
      <c r="J35" s="99">
        <v>0</v>
      </c>
      <c r="K35" s="42"/>
    </row>
    <row r="36" spans="2:11" s="1" customFormat="1" ht="6.95" customHeight="1">
      <c r="B36" s="39"/>
      <c r="K36" s="42"/>
    </row>
    <row r="37" spans="2:11" s="1" customFormat="1" ht="25.35" customHeight="1">
      <c r="B37" s="39"/>
      <c r="C37" s="101"/>
      <c r="D37" s="102" t="s">
        <v>29</v>
      </c>
      <c r="E37" s="62"/>
      <c r="F37" s="62"/>
      <c r="G37" s="103" t="s">
        <v>30</v>
      </c>
      <c r="H37" s="104" t="s">
        <v>31</v>
      </c>
      <c r="I37" s="62"/>
      <c r="J37" s="105">
        <f>SUM(J28:J35)</f>
        <v>0</v>
      </c>
      <c r="K37" s="106"/>
    </row>
    <row r="38" spans="2:11" s="1" customFormat="1" ht="14.45" customHeight="1">
      <c r="B38" s="51"/>
      <c r="C38" s="52"/>
      <c r="D38" s="52"/>
      <c r="E38" s="52"/>
      <c r="F38" s="52"/>
      <c r="G38" s="52"/>
      <c r="H38" s="52"/>
      <c r="I38" s="52"/>
      <c r="J38" s="52"/>
      <c r="K38" s="53"/>
    </row>
    <row r="42" spans="2:11" s="1" customFormat="1" ht="6.95" customHeight="1">
      <c r="B42" s="54"/>
      <c r="C42" s="55"/>
      <c r="D42" s="55"/>
      <c r="E42" s="55"/>
      <c r="F42" s="55"/>
      <c r="G42" s="55"/>
      <c r="H42" s="55"/>
      <c r="I42" s="55"/>
      <c r="J42" s="55"/>
      <c r="K42" s="107"/>
    </row>
    <row r="43" spans="2:11" s="1" customFormat="1" ht="36.950000000000003" customHeight="1">
      <c r="B43" s="39"/>
      <c r="C43" s="31" t="s">
        <v>48</v>
      </c>
      <c r="K43" s="42"/>
    </row>
    <row r="44" spans="2:11" s="1" customFormat="1" ht="6.95" customHeight="1">
      <c r="B44" s="39"/>
      <c r="K44" s="42"/>
    </row>
    <row r="45" spans="2:11" s="1" customFormat="1" ht="14.45" customHeight="1">
      <c r="B45" s="39"/>
      <c r="C45" s="35" t="s">
        <v>5</v>
      </c>
      <c r="K45" s="42"/>
    </row>
    <row r="46" spans="2:11" s="1" customFormat="1" ht="22.5" customHeight="1">
      <c r="B46" s="39"/>
      <c r="E46" s="423" t="str">
        <f>E7</f>
        <v>Realizace výtahu a rekonstrukce navazujících prostor interiéru budovy Městského úřadu Smržovka</v>
      </c>
      <c r="F46" s="375"/>
      <c r="G46" s="375"/>
      <c r="H46" s="375"/>
      <c r="K46" s="42"/>
    </row>
    <row r="47" spans="2:11" s="1" customFormat="1" ht="14.45" customHeight="1">
      <c r="B47" s="39"/>
      <c r="C47" s="35" t="s">
        <v>47</v>
      </c>
      <c r="K47" s="42"/>
    </row>
    <row r="48" spans="2:11" s="1" customFormat="1" ht="23.25" customHeight="1">
      <c r="B48" s="39"/>
      <c r="E48" s="382" t="str">
        <f>E9</f>
        <v>IO 01 - Splašková kanalizace</v>
      </c>
      <c r="F48" s="375"/>
      <c r="G48" s="375"/>
      <c r="H48" s="375"/>
      <c r="K48" s="42"/>
    </row>
    <row r="49" spans="2:11" s="1" customFormat="1" ht="6.95" customHeight="1">
      <c r="B49" s="39"/>
      <c r="K49" s="42"/>
    </row>
    <row r="50" spans="2:11" s="1" customFormat="1" ht="18" customHeight="1">
      <c r="B50" s="39"/>
      <c r="C50" s="35" t="s">
        <v>10</v>
      </c>
      <c r="F50" s="36" t="str">
        <f>F12</f>
        <v>č.p. 600, st.p.č. 1/1, k.ú. Smržovka [751324]</v>
      </c>
      <c r="I50" s="35" t="s">
        <v>11</v>
      </c>
      <c r="J50" s="92">
        <f>IF(J12="","",J12)</f>
        <v>45743</v>
      </c>
      <c r="K50" s="42"/>
    </row>
    <row r="51" spans="2:11" s="1" customFormat="1" ht="6.95" customHeight="1">
      <c r="B51" s="39"/>
      <c r="K51" s="42"/>
    </row>
    <row r="52" spans="2:11" s="1" customFormat="1" ht="15">
      <c r="B52" s="39"/>
      <c r="C52" s="35" t="s">
        <v>12</v>
      </c>
      <c r="F52" s="36" t="str">
        <f>E15</f>
        <v>Město Smržovka, nám. T.G.Masaryka č.p. 600, Smržovka, PSČ 46851</v>
      </c>
      <c r="I52" s="35" t="s">
        <v>17</v>
      </c>
      <c r="J52" s="36" t="str">
        <f>E21</f>
        <v>LHOTA - STAVITELSTVÍ</v>
      </c>
      <c r="K52" s="42"/>
    </row>
    <row r="53" spans="2:11" s="1" customFormat="1" ht="14.45" customHeight="1">
      <c r="B53" s="39"/>
      <c r="C53" s="35" t="s">
        <v>15</v>
      </c>
      <c r="F53" s="36" t="str">
        <f>IF(E18="","",E18)</f>
        <v xml:space="preserve"> </v>
      </c>
      <c r="K53" s="42"/>
    </row>
    <row r="54" spans="2:11" s="1" customFormat="1" ht="10.35" customHeight="1">
      <c r="B54" s="39"/>
      <c r="K54" s="42"/>
    </row>
    <row r="55" spans="2:11" s="1" customFormat="1" ht="29.25" customHeight="1">
      <c r="B55" s="39"/>
      <c r="C55" s="108" t="s">
        <v>49</v>
      </c>
      <c r="D55" s="101"/>
      <c r="E55" s="101"/>
      <c r="F55" s="101"/>
      <c r="G55" s="101"/>
      <c r="H55" s="101"/>
      <c r="I55" s="101"/>
      <c r="J55" s="109" t="s">
        <v>50</v>
      </c>
      <c r="K55" s="110"/>
    </row>
    <row r="56" spans="2:11" s="1" customFormat="1" ht="10.35" customHeight="1">
      <c r="B56" s="39"/>
      <c r="K56" s="42"/>
    </row>
    <row r="57" spans="2:11" s="1" customFormat="1" ht="29.25" customHeight="1">
      <c r="B57" s="39"/>
      <c r="C57" s="111" t="s">
        <v>51</v>
      </c>
      <c r="J57" s="97">
        <f>J79</f>
        <v>0</v>
      </c>
      <c r="K57" s="42"/>
    </row>
    <row r="58" spans="2:11" s="7" customFormat="1" ht="24.95" customHeight="1">
      <c r="B58" s="112"/>
      <c r="D58" s="113" t="s">
        <v>75</v>
      </c>
      <c r="E58" s="114"/>
      <c r="F58" s="114"/>
      <c r="G58" s="114"/>
      <c r="H58" s="114"/>
      <c r="I58" s="114"/>
      <c r="J58" s="115">
        <f>J80</f>
        <v>0</v>
      </c>
      <c r="K58" s="116"/>
    </row>
    <row r="59" spans="2:11" s="8" customFormat="1" ht="19.899999999999999" customHeight="1">
      <c r="B59" s="117"/>
      <c r="D59" s="118" t="s">
        <v>53</v>
      </c>
      <c r="E59" s="119"/>
      <c r="F59" s="119"/>
      <c r="G59" s="119"/>
      <c r="H59" s="119"/>
      <c r="I59" s="119"/>
      <c r="J59" s="120">
        <f>J81</f>
        <v>0</v>
      </c>
      <c r="K59" s="121"/>
    </row>
    <row r="60" spans="2:11" s="1" customFormat="1" ht="21.75" customHeight="1">
      <c r="B60" s="39"/>
      <c r="K60" s="42"/>
    </row>
    <row r="61" spans="2:11" s="1" customFormat="1" ht="6.95" customHeight="1">
      <c r="B61" s="51"/>
      <c r="C61" s="52"/>
      <c r="D61" s="52"/>
      <c r="E61" s="52"/>
      <c r="F61" s="52"/>
      <c r="G61" s="52"/>
      <c r="H61" s="52"/>
      <c r="I61" s="52"/>
      <c r="J61" s="52"/>
      <c r="K61" s="53"/>
    </row>
    <row r="65" spans="2:11" s="1" customFormat="1" ht="6.95" customHeight="1">
      <c r="B65" s="54"/>
      <c r="C65" s="55"/>
      <c r="D65" s="55"/>
      <c r="E65" s="55"/>
      <c r="F65" s="55"/>
      <c r="G65" s="55"/>
      <c r="H65" s="55"/>
      <c r="I65" s="55"/>
      <c r="J65" s="55"/>
      <c r="K65" s="55"/>
    </row>
    <row r="66" spans="2:11" s="1" customFormat="1" ht="36.950000000000003" customHeight="1">
      <c r="B66" s="39"/>
      <c r="C66" s="31" t="s">
        <v>54</v>
      </c>
    </row>
    <row r="67" spans="2:11" s="1" customFormat="1" ht="6.95" customHeight="1">
      <c r="B67" s="39"/>
    </row>
    <row r="68" spans="2:11" s="1" customFormat="1" ht="14.45" customHeight="1">
      <c r="B68" s="39"/>
      <c r="C68" s="35" t="s">
        <v>5</v>
      </c>
    </row>
    <row r="69" spans="2:11" s="1" customFormat="1" ht="22.5" customHeight="1">
      <c r="B69" s="39"/>
      <c r="E69" s="423" t="str">
        <f>E7</f>
        <v>Realizace výtahu a rekonstrukce navazujících prostor interiéru budovy Městského úřadu Smržovka</v>
      </c>
      <c r="F69" s="375"/>
      <c r="G69" s="375"/>
      <c r="H69" s="375"/>
    </row>
    <row r="70" spans="2:11" s="1" customFormat="1" ht="14.45" customHeight="1">
      <c r="B70" s="39"/>
      <c r="C70" s="35" t="s">
        <v>47</v>
      </c>
    </row>
    <row r="71" spans="2:11" s="1" customFormat="1" ht="23.25" customHeight="1">
      <c r="B71" s="39"/>
      <c r="E71" s="382" t="str">
        <f>E9</f>
        <v>IO 01 - Splašková kanalizace</v>
      </c>
      <c r="F71" s="375"/>
      <c r="G71" s="375"/>
      <c r="H71" s="375"/>
    </row>
    <row r="72" spans="2:11" s="1" customFormat="1" ht="6.95" customHeight="1">
      <c r="B72" s="39"/>
    </row>
    <row r="73" spans="2:11" s="1" customFormat="1" ht="18" customHeight="1">
      <c r="B73" s="39"/>
      <c r="C73" s="35" t="s">
        <v>10</v>
      </c>
      <c r="F73" s="36" t="str">
        <f>F12</f>
        <v>č.p. 600, st.p.č. 1/1, k.ú. Smržovka [751324]</v>
      </c>
      <c r="I73" s="35" t="s">
        <v>11</v>
      </c>
      <c r="J73" s="92">
        <f>IF(J12="","",J12)</f>
        <v>45743</v>
      </c>
    </row>
    <row r="74" spans="2:11" s="1" customFormat="1" ht="6.95" customHeight="1">
      <c r="B74" s="39"/>
    </row>
    <row r="75" spans="2:11" s="1" customFormat="1" ht="15">
      <c r="B75" s="39"/>
      <c r="C75" s="35" t="s">
        <v>12</v>
      </c>
      <c r="F75" s="36" t="str">
        <f>E15</f>
        <v>Město Smržovka, nám. T.G.Masaryka č.p. 600, Smržovka, PSČ 46851</v>
      </c>
      <c r="I75" s="35" t="s">
        <v>17</v>
      </c>
      <c r="J75" s="36" t="str">
        <f>E21</f>
        <v>LHOTA - STAVITELSTVÍ</v>
      </c>
    </row>
    <row r="76" spans="2:11" s="1" customFormat="1" ht="14.45" customHeight="1">
      <c r="B76" s="39"/>
      <c r="C76" s="35" t="s">
        <v>15</v>
      </c>
      <c r="F76" s="36" t="str">
        <f>IF(E18="","",E18)</f>
        <v xml:space="preserve"> </v>
      </c>
    </row>
    <row r="77" spans="2:11" s="1" customFormat="1" ht="10.35" customHeight="1">
      <c r="B77" s="39"/>
    </row>
    <row r="78" spans="2:11" s="9" customFormat="1" ht="29.25" customHeight="1">
      <c r="B78" s="122"/>
      <c r="C78" s="123" t="s">
        <v>55</v>
      </c>
      <c r="D78" s="124" t="s">
        <v>37</v>
      </c>
      <c r="E78" s="124" t="s">
        <v>33</v>
      </c>
      <c r="F78" s="124" t="s">
        <v>56</v>
      </c>
      <c r="G78" s="124" t="s">
        <v>57</v>
      </c>
      <c r="H78" s="124" t="s">
        <v>58</v>
      </c>
      <c r="I78" s="125" t="s">
        <v>59</v>
      </c>
      <c r="J78" s="124" t="s">
        <v>50</v>
      </c>
      <c r="K78" s="126" t="s">
        <v>60</v>
      </c>
    </row>
    <row r="79" spans="2:11" s="1" customFormat="1" ht="29.25" customHeight="1">
      <c r="B79" s="39"/>
      <c r="C79" s="64" t="s">
        <v>51</v>
      </c>
      <c r="J79" s="127">
        <f>J80</f>
        <v>0</v>
      </c>
    </row>
    <row r="80" spans="2:11" s="10" customFormat="1" ht="24" customHeight="1">
      <c r="B80" s="128"/>
      <c r="D80" s="129" t="s">
        <v>39</v>
      </c>
      <c r="E80" s="130" t="s">
        <v>206</v>
      </c>
      <c r="F80" s="130" t="s">
        <v>207</v>
      </c>
      <c r="J80" s="131">
        <f>J81</f>
        <v>0</v>
      </c>
    </row>
    <row r="81" spans="2:11" s="10" customFormat="1" ht="19.899999999999999" customHeight="1">
      <c r="B81" s="128"/>
      <c r="D81" s="129" t="s">
        <v>39</v>
      </c>
      <c r="E81" s="133">
        <v>3</v>
      </c>
      <c r="F81" s="133" t="s">
        <v>971</v>
      </c>
      <c r="J81" s="134">
        <f>SUM(J82:J82)</f>
        <v>0</v>
      </c>
    </row>
    <row r="82" spans="2:11" s="1" customFormat="1" ht="22.5" customHeight="1">
      <c r="B82" s="39"/>
      <c r="C82" s="135">
        <v>1</v>
      </c>
      <c r="D82" s="135"/>
      <c r="E82" s="136"/>
      <c r="F82" s="137" t="s">
        <v>2293</v>
      </c>
      <c r="G82" s="138"/>
      <c r="H82" s="139">
        <v>0</v>
      </c>
      <c r="I82" s="90"/>
      <c r="J82" s="140">
        <f>ROUND(I82*H82,2)</f>
        <v>0</v>
      </c>
      <c r="K82" s="137"/>
    </row>
    <row r="83" spans="2:11" s="1" customFormat="1" ht="6.95" customHeight="1">
      <c r="B83" s="51"/>
      <c r="C83" s="52"/>
      <c r="D83" s="52"/>
      <c r="E83" s="52"/>
      <c r="F83" s="52"/>
      <c r="G83" s="52"/>
      <c r="H83" s="52"/>
      <c r="I83" s="52"/>
      <c r="J83" s="52"/>
      <c r="K83" s="52"/>
    </row>
    <row r="87" spans="2:11" ht="27.75">
      <c r="F87" s="302"/>
    </row>
    <row r="92" spans="2:11">
      <c r="I92" s="87" t="s">
        <v>636</v>
      </c>
      <c r="J92" s="88">
        <f>SUM(J79:J82)/4</f>
        <v>0</v>
      </c>
      <c r="K92" s="89"/>
    </row>
    <row r="93" spans="2:11">
      <c r="I93" s="87" t="s">
        <v>637</v>
      </c>
      <c r="J93" s="88">
        <f>SUM(J57:J60)/3</f>
        <v>0</v>
      </c>
      <c r="K93" s="89"/>
    </row>
    <row r="94" spans="2:11">
      <c r="I94" s="87" t="s">
        <v>638</v>
      </c>
      <c r="J94" s="88">
        <f>J92-J93</f>
        <v>0</v>
      </c>
      <c r="K94" s="87" t="s">
        <v>639</v>
      </c>
    </row>
  </sheetData>
  <sheetProtection algorithmName="SHA-512" hashValue="trK2MXDSvFYLNtrDLVwipoy6ZLGg5tM/BmwY/ThoLXWxErs/bScG7xnFLfFHcfTN7L/Qae4yg6+mARyY516/ng==" saltValue="k1Pfbw9FYMNNN5T44x2MjA==" spinCount="100000" sheet="1" objects="1" scenarios="1"/>
  <autoFilter ref="C78:K78" xr:uid="{00000000-0009-0000-0000-000001000000}"/>
  <mergeCells count="8">
    <mergeCell ref="E69:H69"/>
    <mergeCell ref="E71:H71"/>
    <mergeCell ref="G1:H1"/>
    <mergeCell ref="E7:H7"/>
    <mergeCell ref="E9:H9"/>
    <mergeCell ref="E25:H25"/>
    <mergeCell ref="E46:H46"/>
    <mergeCell ref="E48:H48"/>
  </mergeCells>
  <hyperlinks>
    <hyperlink ref="F1:G1" location="C2" tooltip="Krycí list soupisu" display="1) Krycí list soupisu" xr:uid="{446C1937-613F-4952-9B91-E5899FE74079}"/>
    <hyperlink ref="G1:H1" location="C54" tooltip="Rekapitulace" display="2) Rekapitulace" xr:uid="{8AE810A1-5528-460E-8EE2-7309FC1542B7}"/>
    <hyperlink ref="J1" location="C77" tooltip="Soupis prací" display="3) Soupis prací" xr:uid="{DD60989E-2336-400E-B74E-E383D79D56F4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27</vt:i4>
      </vt:variant>
    </vt:vector>
  </HeadingPairs>
  <TitlesOfParts>
    <vt:vector size="41" baseType="lpstr">
      <vt:lpstr>Rekapitulace stavby</vt:lpstr>
      <vt:lpstr>VON -Vedl.ostat.nákl.</vt:lpstr>
      <vt:lpstr>SO 01 - Stáv.obj.</vt:lpstr>
      <vt:lpstr>SO 02 - Přístavba</vt:lpstr>
      <vt:lpstr>SO 03 - Zpevněné plochy</vt:lpstr>
      <vt:lpstr>SO 04 - Sadové a terénní</vt:lpstr>
      <vt:lpstr>INT 01 - Interiér</vt:lpstr>
      <vt:lpstr>TO 01 - SLP</vt:lpstr>
      <vt:lpstr>IO 01 - Splašková kanalizace</vt:lpstr>
      <vt:lpstr>IO 02 - Dešťová kanalizace</vt:lpstr>
      <vt:lpstr>IO 03 - Vodovodní přípojka</vt:lpstr>
      <vt:lpstr>IO 04 - Elektro přípojka</vt:lpstr>
      <vt:lpstr>IO 05 - Plynová přípojka</vt:lpstr>
      <vt:lpstr>Pokyny pro vyplnění</vt:lpstr>
      <vt:lpstr>'INT 01 - Interiér'!Názvy_tisku</vt:lpstr>
      <vt:lpstr>'IO 01 - Splašková kanalizace'!Názvy_tisku</vt:lpstr>
      <vt:lpstr>'IO 02 - Dešťová kanalizace'!Názvy_tisku</vt:lpstr>
      <vt:lpstr>'IO 03 - Vodovodní přípojka'!Názvy_tisku</vt:lpstr>
      <vt:lpstr>'IO 04 - Elektro přípojka'!Názvy_tisku</vt:lpstr>
      <vt:lpstr>'IO 05 - Plynová přípojka'!Názvy_tisku</vt:lpstr>
      <vt:lpstr>'Rekapitulace stavby'!Názvy_tisku</vt:lpstr>
      <vt:lpstr>'SO 01 - Stáv.obj.'!Názvy_tisku</vt:lpstr>
      <vt:lpstr>'SO 02 - Přístavba'!Názvy_tisku</vt:lpstr>
      <vt:lpstr>'SO 03 - Zpevněné plochy'!Názvy_tisku</vt:lpstr>
      <vt:lpstr>'SO 04 - Sadové a terénní'!Názvy_tisku</vt:lpstr>
      <vt:lpstr>'TO 01 - SLP'!Názvy_tisku</vt:lpstr>
      <vt:lpstr>'VON -Vedl.ostat.nákl.'!Názvy_tisku</vt:lpstr>
      <vt:lpstr>'INT 01 - Interiér'!Oblast_tisku</vt:lpstr>
      <vt:lpstr>'IO 01 - Splašková kanalizace'!Oblast_tisku</vt:lpstr>
      <vt:lpstr>'IO 02 - Dešťová kanalizace'!Oblast_tisku</vt:lpstr>
      <vt:lpstr>'IO 03 - Vodovodní přípojka'!Oblast_tisku</vt:lpstr>
      <vt:lpstr>'IO 04 - Elektro přípojka'!Oblast_tisku</vt:lpstr>
      <vt:lpstr>'IO 05 - Plynová přípojka'!Oblast_tisku</vt:lpstr>
      <vt:lpstr>'Pokyny pro vyplnění'!Oblast_tisku</vt:lpstr>
      <vt:lpstr>'Rekapitulace stavby'!Oblast_tisku</vt:lpstr>
      <vt:lpstr>'SO 01 - Stáv.obj.'!Oblast_tisku</vt:lpstr>
      <vt:lpstr>'SO 02 - Přístavba'!Oblast_tisku</vt:lpstr>
      <vt:lpstr>'SO 03 - Zpevněné plochy'!Oblast_tisku</vt:lpstr>
      <vt:lpstr>'SO 04 - Sadové a terénní'!Oblast_tisku</vt:lpstr>
      <vt:lpstr>'TO 01 - SLP'!Oblast_tisku</vt:lpstr>
      <vt:lpstr>'VON -Vedl.ostat.nákl.'!Oblast_tisku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lka 4</cp:lastModifiedBy>
  <cp:lastPrinted>2025-03-25T01:03:42Z</cp:lastPrinted>
  <dcterms:created xsi:type="dcterms:W3CDTF">2017-02-23T15:02:13Z</dcterms:created>
  <dcterms:modified xsi:type="dcterms:W3CDTF">2025-08-07T07:48:14Z</dcterms:modified>
</cp:coreProperties>
</file>