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Rudná\"/>
    </mc:Choice>
  </mc:AlternateContent>
  <xr:revisionPtr revIDLastSave="0" documentId="8_{E3DE8A12-185C-4A0D-9F58-EE3156669D7C}" xr6:coauthVersionLast="47" xr6:coauthVersionMax="47" xr10:uidLastSave="{00000000-0000-0000-0000-000000000000}"/>
  <bookViews>
    <workbookView xWindow="-28920" yWindow="-120" windowWidth="29040" windowHeight="15840" tabRatio="957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101 Riegrova" sheetId="61" r:id="rId4"/>
    <sheet name="SO 102 Nádražní" sheetId="59" r:id="rId5"/>
    <sheet name="SO 103 Poštovní" sheetId="12" r:id="rId6"/>
  </sheets>
  <externalReferences>
    <externalReference r:id="rId7"/>
  </externalReferences>
  <definedNames>
    <definedName name="CelkemDPHVypocet" localSheetId="1">Stavba!$H$46</definedName>
    <definedName name="CenaCelkem">Stavba!$G$32</definedName>
    <definedName name="CenaCelkemBezDPH">Stavba!$G$31</definedName>
    <definedName name="CenaCelkemVypocet" localSheetId="1">Stavba!$I$46</definedName>
    <definedName name="cisloobjektu">Stavba!$D$5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Stavba!$D$6</definedName>
    <definedName name="dadresa">Stavba!$D$14:$G$14</definedName>
    <definedName name="DIČ" localSheetId="1">Stavba!$I$14</definedName>
    <definedName name="dmisto">Stavba!$E$15:$G$15</definedName>
    <definedName name="DPHSni">Stavba!$G$26</definedName>
    <definedName name="DPHZakl">Stavba!$G$28</definedName>
    <definedName name="dpsc" localSheetId="1">Stavba!$D$15</definedName>
    <definedName name="IČO" localSheetId="1">Stavba!$I$13</definedName>
    <definedName name="Mena">Stavba!$J$32</definedName>
    <definedName name="MistoStavby">Stavba!$D$6</definedName>
    <definedName name="nazevobjektu">Stavba!$E$5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Stavba!$E$6</definedName>
    <definedName name="_xlnm.Print_Titles" localSheetId="3">'SO 101 Riegrova'!$1:$7</definedName>
    <definedName name="_xlnm.Print_Titles" localSheetId="4">'SO 102 Nádražní'!$1:$7</definedName>
    <definedName name="_xlnm.Print_Titles" localSheetId="5">'SO 103 Poštovní'!$1:$7</definedName>
    <definedName name="oadresa">Stavba!$D$8</definedName>
    <definedName name="Objednatel" localSheetId="1">Stavba!$D$7</definedName>
    <definedName name="Objekt" localSheetId="1">Stavba!$B$41</definedName>
    <definedName name="_xlnm.Print_Area" localSheetId="3">'SO 101 Riegrova'!$A$1:$X$280</definedName>
    <definedName name="_xlnm.Print_Area" localSheetId="4">'SO 102 Nádražní'!$A$1:$X$269</definedName>
    <definedName name="_xlnm.Print_Area" localSheetId="5">'SO 103 Poštovní'!$A$1:$X$260</definedName>
    <definedName name="_xlnm.Print_Area" localSheetId="1">Stavba!$A$1:$J$103</definedName>
    <definedName name="odic" localSheetId="1">Stavba!$I$8</definedName>
    <definedName name="oico" localSheetId="1">Stavba!$I$7</definedName>
    <definedName name="omisto" localSheetId="1">Stavba!$E$9</definedName>
    <definedName name="onazev" localSheetId="1">Stavba!$D$8</definedName>
    <definedName name="opsc" localSheetId="1">Stavba!$D$9</definedName>
    <definedName name="padresa">Stavba!$D$11</definedName>
    <definedName name="pdic">Stavba!$I$11</definedName>
    <definedName name="pico">Stavba!$I$10</definedName>
    <definedName name="pmisto">Stavba!$E$12</definedName>
    <definedName name="PocetMJ">#REF!</definedName>
    <definedName name="PoptavkaID">Stavba!$A$1</definedName>
    <definedName name="pPSC">Stavba!$D$12</definedName>
    <definedName name="Projektant">Stavba!$D$10</definedName>
    <definedName name="SazbaDPH1" localSheetId="1">Stavba!$E$25</definedName>
    <definedName name="SazbaDPH1">'[1]Krycí list'!$C$30</definedName>
    <definedName name="SazbaDPH2" localSheetId="1">Stavba!$E$27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Stavba!$D$16</definedName>
    <definedName name="Z_B7E7C763_C459_487D_8ABA_5CFDDFBD5A84_.wvu.Cols" localSheetId="1" hidden="1">Stavba!$A:$A</definedName>
    <definedName name="Z_B7E7C763_C459_487D_8ABA_5CFDDFBD5A84_.wvu.PrintArea" localSheetId="1" hidden="1">Stavba!$B$1:$J$39</definedName>
    <definedName name="ZakladDPHSni">Stavba!$G$25</definedName>
    <definedName name="ZakladDPHSniVypocet" localSheetId="1">Stavba!$F$46</definedName>
    <definedName name="ZakladDPHZakl">Stavba!$G$27</definedName>
    <definedName name="ZakladDPHZaklVypocet" localSheetId="1">Stavba!$G$46</definedName>
    <definedName name="ZaObjednatele">Stavba!$G$37</definedName>
    <definedName name="Zaokrouhleni">Stavba!$G$30</definedName>
    <definedName name="ZaZhotovitele">Stavba!$D$37</definedName>
    <definedName name="Zhotovitel">Stavba!$D$13:$G$13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11" i="61" l="1"/>
  <c r="O211" i="61"/>
  <c r="K211" i="61"/>
  <c r="I211" i="61"/>
  <c r="G211" i="61"/>
  <c r="M211" i="61" s="1"/>
  <c r="E244" i="61"/>
  <c r="E247" i="61"/>
  <c r="E246" i="61" s="1"/>
  <c r="Q246" i="61" s="1"/>
  <c r="E250" i="61"/>
  <c r="E99" i="61"/>
  <c r="K99" i="61" s="1"/>
  <c r="E199" i="61"/>
  <c r="E198" i="61" s="1"/>
  <c r="E205" i="61"/>
  <c r="E203" i="61" s="1"/>
  <c r="E196" i="61"/>
  <c r="A180" i="12"/>
  <c r="Q178" i="12"/>
  <c r="O178" i="12"/>
  <c r="M178" i="12"/>
  <c r="K178" i="12"/>
  <c r="I178" i="12"/>
  <c r="G178" i="12"/>
  <c r="A178" i="12"/>
  <c r="Q182" i="59"/>
  <c r="O182" i="59"/>
  <c r="K182" i="59"/>
  <c r="I182" i="59"/>
  <c r="G182" i="59"/>
  <c r="M182" i="59" s="1"/>
  <c r="Q180" i="59"/>
  <c r="O180" i="59"/>
  <c r="K180" i="59"/>
  <c r="I180" i="59"/>
  <c r="G180" i="59"/>
  <c r="M180" i="59" s="1"/>
  <c r="Q188" i="61"/>
  <c r="O188" i="61"/>
  <c r="K188" i="61"/>
  <c r="I188" i="61"/>
  <c r="G188" i="61"/>
  <c r="M188" i="61" s="1"/>
  <c r="Q186" i="61"/>
  <c r="O186" i="61"/>
  <c r="K186" i="61"/>
  <c r="I186" i="61"/>
  <c r="G186" i="61"/>
  <c r="M186" i="61" s="1"/>
  <c r="E178" i="61"/>
  <c r="E176" i="61" s="1"/>
  <c r="K176" i="61" s="1"/>
  <c r="E149" i="61"/>
  <c r="Q145" i="61"/>
  <c r="O145" i="61"/>
  <c r="K145" i="61"/>
  <c r="I145" i="61"/>
  <c r="G145" i="61"/>
  <c r="M145" i="61" s="1"/>
  <c r="Q143" i="61"/>
  <c r="O143" i="61"/>
  <c r="K143" i="61"/>
  <c r="I143" i="61"/>
  <c r="G143" i="61"/>
  <c r="M143" i="61" s="1"/>
  <c r="E114" i="61"/>
  <c r="K114" i="61" s="1"/>
  <c r="E116" i="61"/>
  <c r="E112" i="59"/>
  <c r="Q112" i="59" s="1"/>
  <c r="E110" i="59"/>
  <c r="E112" i="61"/>
  <c r="E110" i="61" s="1"/>
  <c r="I110" i="61" s="1"/>
  <c r="E106" i="61"/>
  <c r="O106" i="61" s="1"/>
  <c r="E104" i="61"/>
  <c r="E102" i="61" s="1"/>
  <c r="E97" i="61"/>
  <c r="E96" i="61" s="1"/>
  <c r="E94" i="61"/>
  <c r="E93" i="61" s="1"/>
  <c r="Q93" i="61" s="1"/>
  <c r="E88" i="61"/>
  <c r="E87" i="61" s="1"/>
  <c r="E85" i="61"/>
  <c r="E84" i="61" s="1"/>
  <c r="E82" i="61"/>
  <c r="E81" i="61" s="1"/>
  <c r="K81" i="61" s="1"/>
  <c r="E73" i="61"/>
  <c r="E71" i="61" s="1"/>
  <c r="K71" i="61" s="1"/>
  <c r="E61" i="61"/>
  <c r="E60" i="61" s="1"/>
  <c r="K60" i="61" s="1"/>
  <c r="E55" i="61"/>
  <c r="E47" i="61"/>
  <c r="E46" i="61"/>
  <c r="E45" i="61"/>
  <c r="E41" i="61"/>
  <c r="E39" i="61" s="1"/>
  <c r="K39" i="61" s="1"/>
  <c r="E37" i="61"/>
  <c r="E15" i="61"/>
  <c r="E13" i="61" s="1"/>
  <c r="E36" i="61"/>
  <c r="E35" i="61"/>
  <c r="E31" i="61"/>
  <c r="E29" i="61" s="1"/>
  <c r="E27" i="61"/>
  <c r="E25" i="61" s="1"/>
  <c r="K25" i="61" s="1"/>
  <c r="E23" i="61"/>
  <c r="E21" i="61" s="1"/>
  <c r="E19" i="61"/>
  <c r="E17" i="61" s="1"/>
  <c r="K17" i="61" s="1"/>
  <c r="E11" i="61"/>
  <c r="E9" i="61" s="1"/>
  <c r="K9" i="61" s="1"/>
  <c r="Q275" i="61"/>
  <c r="O275" i="61"/>
  <c r="K275" i="61"/>
  <c r="I275" i="61"/>
  <c r="G275" i="61"/>
  <c r="M275" i="61" s="1"/>
  <c r="Q272" i="61"/>
  <c r="O272" i="61"/>
  <c r="K272" i="61"/>
  <c r="I272" i="61"/>
  <c r="G272" i="61"/>
  <c r="M272" i="61" s="1"/>
  <c r="Q269" i="61"/>
  <c r="O269" i="61"/>
  <c r="K269" i="61"/>
  <c r="I269" i="61"/>
  <c r="G269" i="61"/>
  <c r="M269" i="61" s="1"/>
  <c r="Q266" i="61"/>
  <c r="O266" i="61"/>
  <c r="K266" i="61"/>
  <c r="I266" i="61"/>
  <c r="G266" i="61"/>
  <c r="Q262" i="61"/>
  <c r="O262" i="61"/>
  <c r="K262" i="61"/>
  <c r="I262" i="61"/>
  <c r="G262" i="61"/>
  <c r="M262" i="61" s="1"/>
  <c r="Q259" i="61"/>
  <c r="O259" i="61"/>
  <c r="K259" i="61"/>
  <c r="I259" i="61"/>
  <c r="G259" i="61"/>
  <c r="M259" i="61" s="1"/>
  <c r="Q256" i="61"/>
  <c r="Q252" i="61" s="1"/>
  <c r="O256" i="61"/>
  <c r="O252" i="61" s="1"/>
  <c r="K256" i="61"/>
  <c r="K252" i="61" s="1"/>
  <c r="I256" i="61"/>
  <c r="I252" i="61" s="1"/>
  <c r="G256" i="61"/>
  <c r="M256" i="61" s="1"/>
  <c r="Q253" i="61"/>
  <c r="O253" i="61"/>
  <c r="K253" i="61"/>
  <c r="I253" i="61"/>
  <c r="G253" i="61"/>
  <c r="E249" i="61"/>
  <c r="G219" i="61"/>
  <c r="G216" i="61"/>
  <c r="M216" i="61" s="1"/>
  <c r="Q215" i="61"/>
  <c r="O215" i="61"/>
  <c r="K215" i="61"/>
  <c r="I215" i="61"/>
  <c r="Q208" i="61"/>
  <c r="O208" i="61"/>
  <c r="K208" i="61"/>
  <c r="I208" i="61"/>
  <c r="G208" i="61"/>
  <c r="Q207" i="61"/>
  <c r="O207" i="61"/>
  <c r="K207" i="61"/>
  <c r="I207" i="61"/>
  <c r="E195" i="61"/>
  <c r="K195" i="61" s="1"/>
  <c r="Q193" i="61"/>
  <c r="O193" i="61"/>
  <c r="K193" i="61"/>
  <c r="I193" i="61"/>
  <c r="G193" i="61"/>
  <c r="M193" i="61" s="1"/>
  <c r="Q190" i="61"/>
  <c r="O190" i="61"/>
  <c r="K190" i="61"/>
  <c r="I190" i="61"/>
  <c r="G190" i="61"/>
  <c r="M190" i="61" s="1"/>
  <c r="Q184" i="61"/>
  <c r="O184" i="61"/>
  <c r="K184" i="61"/>
  <c r="I184" i="61"/>
  <c r="G184" i="61"/>
  <c r="M184" i="61" s="1"/>
  <c r="Q182" i="61"/>
  <c r="O182" i="61"/>
  <c r="K182" i="61"/>
  <c r="I182" i="61"/>
  <c r="G182" i="61"/>
  <c r="M182" i="61" s="1"/>
  <c r="Q180" i="61"/>
  <c r="O180" i="61"/>
  <c r="K180" i="61"/>
  <c r="I180" i="61"/>
  <c r="G180" i="61"/>
  <c r="M180" i="61" s="1"/>
  <c r="Q174" i="61"/>
  <c r="O174" i="61"/>
  <c r="K174" i="61"/>
  <c r="I174" i="61"/>
  <c r="G174" i="61"/>
  <c r="M174" i="61" s="1"/>
  <c r="Q172" i="61"/>
  <c r="O172" i="61"/>
  <c r="K172" i="61"/>
  <c r="I172" i="61"/>
  <c r="G172" i="61"/>
  <c r="M172" i="61" s="1"/>
  <c r="Q170" i="61"/>
  <c r="O170" i="61"/>
  <c r="K170" i="61"/>
  <c r="I170" i="61"/>
  <c r="G170" i="61"/>
  <c r="M170" i="61" s="1"/>
  <c r="E167" i="61"/>
  <c r="I167" i="61" s="1"/>
  <c r="E165" i="61"/>
  <c r="O165" i="61" s="1"/>
  <c r="E161" i="61"/>
  <c r="E163" i="61" s="1"/>
  <c r="I163" i="61" s="1"/>
  <c r="E157" i="61"/>
  <c r="E159" i="61" s="1"/>
  <c r="I159" i="61" s="1"/>
  <c r="E155" i="61"/>
  <c r="I155" i="61" s="1"/>
  <c r="Q153" i="61"/>
  <c r="O153" i="61"/>
  <c r="K153" i="61"/>
  <c r="I153" i="61"/>
  <c r="G153" i="61"/>
  <c r="M153" i="61" s="1"/>
  <c r="Q151" i="61"/>
  <c r="O151" i="61"/>
  <c r="K151" i="61"/>
  <c r="I151" i="61"/>
  <c r="G151" i="61"/>
  <c r="M151" i="61" s="1"/>
  <c r="Q147" i="61"/>
  <c r="O147" i="61"/>
  <c r="K147" i="61"/>
  <c r="I147" i="61"/>
  <c r="G147" i="61"/>
  <c r="M147" i="61" s="1"/>
  <c r="Q141" i="61"/>
  <c r="O141" i="61"/>
  <c r="K141" i="61"/>
  <c r="I141" i="61"/>
  <c r="G141" i="61"/>
  <c r="M141" i="61" s="1"/>
  <c r="Q139" i="61"/>
  <c r="O139" i="61"/>
  <c r="K139" i="61"/>
  <c r="I139" i="61"/>
  <c r="G139" i="61"/>
  <c r="M139" i="61" s="1"/>
  <c r="Q137" i="61"/>
  <c r="O137" i="61"/>
  <c r="K137" i="61"/>
  <c r="I137" i="61"/>
  <c r="G137" i="61"/>
  <c r="M137" i="61" s="1"/>
  <c r="Q135" i="61"/>
  <c r="O135" i="61"/>
  <c r="K135" i="61"/>
  <c r="I135" i="61"/>
  <c r="G135" i="61"/>
  <c r="M135" i="61" s="1"/>
  <c r="E130" i="61"/>
  <c r="E128" i="61"/>
  <c r="Q128" i="61" s="1"/>
  <c r="E124" i="61"/>
  <c r="G124" i="61" s="1"/>
  <c r="M124" i="61" s="1"/>
  <c r="Q122" i="61"/>
  <c r="O122" i="61"/>
  <c r="K122" i="61"/>
  <c r="I122" i="61"/>
  <c r="G122" i="61"/>
  <c r="M122" i="61" s="1"/>
  <c r="Q118" i="61"/>
  <c r="O118" i="61"/>
  <c r="K118" i="61"/>
  <c r="I118" i="61"/>
  <c r="G118" i="61"/>
  <c r="M118" i="61" s="1"/>
  <c r="K108" i="61"/>
  <c r="I108" i="61"/>
  <c r="E90" i="61"/>
  <c r="Q90" i="61" s="1"/>
  <c r="E78" i="61"/>
  <c r="K78" i="61" s="1"/>
  <c r="V76" i="61"/>
  <c r="E66" i="61"/>
  <c r="K66" i="61" s="1"/>
  <c r="V63" i="61"/>
  <c r="Q63" i="61"/>
  <c r="O63" i="61"/>
  <c r="K63" i="61"/>
  <c r="I63" i="61"/>
  <c r="G63" i="61"/>
  <c r="M63" i="61" s="1"/>
  <c r="E57" i="61"/>
  <c r="A43" i="61"/>
  <c r="A50" i="61" s="1"/>
  <c r="A53" i="61" s="1"/>
  <c r="A57" i="61" s="1"/>
  <c r="A60" i="61" s="1"/>
  <c r="A63" i="61" s="1"/>
  <c r="A66" i="61" s="1"/>
  <c r="A68" i="61" s="1"/>
  <c r="A71" i="61" s="1"/>
  <c r="A75" i="61" s="1"/>
  <c r="A78" i="61" s="1"/>
  <c r="A81" i="61" s="1"/>
  <c r="A84" i="61" s="1"/>
  <c r="A87" i="61" s="1"/>
  <c r="A90" i="61" s="1"/>
  <c r="A93" i="61" s="1"/>
  <c r="A96" i="61" s="1"/>
  <c r="A99" i="61" s="1"/>
  <c r="A102" i="61" s="1"/>
  <c r="A106" i="61" s="1"/>
  <c r="A108" i="61" s="1"/>
  <c r="A110" i="61" s="1"/>
  <c r="A114" i="61" s="1"/>
  <c r="A116" i="61" s="1"/>
  <c r="A118" i="61" s="1"/>
  <c r="A122" i="61" s="1"/>
  <c r="A124" i="61" s="1"/>
  <c r="A128" i="61" s="1"/>
  <c r="A130" i="61" s="1"/>
  <c r="A135" i="61" s="1"/>
  <c r="A137" i="61" s="1"/>
  <c r="A139" i="61" s="1"/>
  <c r="A141" i="61" s="1"/>
  <c r="A147" i="61" s="1"/>
  <c r="A149" i="61" s="1"/>
  <c r="A151" i="61" s="1"/>
  <c r="A153" i="61" s="1"/>
  <c r="A155" i="61" s="1"/>
  <c r="A157" i="61" s="1"/>
  <c r="A159" i="61" s="1"/>
  <c r="A161" i="61" s="1"/>
  <c r="A163" i="61" s="1"/>
  <c r="A165" i="61" s="1"/>
  <c r="A167" i="61" s="1"/>
  <c r="A170" i="61" s="1"/>
  <c r="A172" i="61" s="1"/>
  <c r="A174" i="61" s="1"/>
  <c r="A176" i="61" s="1"/>
  <c r="A180" i="61" s="1"/>
  <c r="A182" i="61" s="1"/>
  <c r="A184" i="61" s="1"/>
  <c r="V28" i="61"/>
  <c r="V8" i="61" s="1"/>
  <c r="A13" i="61"/>
  <c r="A17" i="61" s="1"/>
  <c r="A21" i="61" s="1"/>
  <c r="A25" i="61" s="1"/>
  <c r="A29" i="61" s="1"/>
  <c r="E143" i="59"/>
  <c r="Q143" i="59" s="1"/>
  <c r="K139" i="59"/>
  <c r="Q139" i="59"/>
  <c r="K137" i="59"/>
  <c r="Q137" i="59"/>
  <c r="Q141" i="59"/>
  <c r="G208" i="59"/>
  <c r="M208" i="59" s="1"/>
  <c r="E164" i="12"/>
  <c r="O164" i="12" s="1"/>
  <c r="Q166" i="12"/>
  <c r="O166" i="12"/>
  <c r="K166" i="12"/>
  <c r="I166" i="12"/>
  <c r="G166" i="12"/>
  <c r="M166" i="12" s="1"/>
  <c r="G164" i="12"/>
  <c r="M164" i="12" s="1"/>
  <c r="E162" i="12"/>
  <c r="E160" i="12" s="1"/>
  <c r="Q160" i="12" s="1"/>
  <c r="E92" i="59"/>
  <c r="E91" i="59" s="1"/>
  <c r="K91" i="59" s="1"/>
  <c r="K97" i="59"/>
  <c r="Q120" i="59"/>
  <c r="O120" i="59"/>
  <c r="I120" i="59"/>
  <c r="G120" i="59"/>
  <c r="M120" i="59" s="1"/>
  <c r="K120" i="59"/>
  <c r="E239" i="59"/>
  <c r="E238" i="59" s="1"/>
  <c r="E236" i="59"/>
  <c r="E235" i="59" s="1"/>
  <c r="K235" i="59" s="1"/>
  <c r="E233" i="59"/>
  <c r="E193" i="59"/>
  <c r="E192" i="59" s="1"/>
  <c r="K192" i="59" s="1"/>
  <c r="E172" i="59"/>
  <c r="E170" i="59" s="1"/>
  <c r="G170" i="59" s="1"/>
  <c r="M170" i="59" s="1"/>
  <c r="E114" i="59"/>
  <c r="Q114" i="59" s="1"/>
  <c r="E108" i="59"/>
  <c r="E104" i="59"/>
  <c r="O104" i="59" s="1"/>
  <c r="E106" i="59"/>
  <c r="E95" i="59"/>
  <c r="E94" i="59" s="1"/>
  <c r="O94" i="59" s="1"/>
  <c r="E88" i="59"/>
  <c r="E86" i="59"/>
  <c r="E85" i="59" s="1"/>
  <c r="E83" i="59"/>
  <c r="E82" i="59" s="1"/>
  <c r="I82" i="59" s="1"/>
  <c r="E71" i="59"/>
  <c r="E69" i="59" s="1"/>
  <c r="K69" i="59" s="1"/>
  <c r="E67" i="59"/>
  <c r="E66" i="59" s="1"/>
  <c r="E59" i="59"/>
  <c r="E58" i="59" s="1"/>
  <c r="K58" i="59" s="1"/>
  <c r="E56" i="59"/>
  <c r="E55" i="59" s="1"/>
  <c r="G55" i="59" s="1"/>
  <c r="M55" i="59" s="1"/>
  <c r="E45" i="59"/>
  <c r="E44" i="59"/>
  <c r="E53" i="59"/>
  <c r="E51" i="59" s="1"/>
  <c r="K51" i="59" s="1"/>
  <c r="E40" i="59"/>
  <c r="E38" i="59" s="1"/>
  <c r="E31" i="12"/>
  <c r="E29" i="12" s="1"/>
  <c r="K29" i="12" s="1"/>
  <c r="E36" i="59"/>
  <c r="E35" i="59"/>
  <c r="E31" i="59"/>
  <c r="E27" i="59"/>
  <c r="E25" i="59" s="1"/>
  <c r="K25" i="59" s="1"/>
  <c r="E23" i="59"/>
  <c r="E21" i="59" s="1"/>
  <c r="K21" i="59" s="1"/>
  <c r="E19" i="59"/>
  <c r="E17" i="59" s="1"/>
  <c r="O17" i="59" s="1"/>
  <c r="E15" i="59"/>
  <c r="E13" i="59" s="1"/>
  <c r="K13" i="59" s="1"/>
  <c r="E11" i="59"/>
  <c r="E9" i="59" s="1"/>
  <c r="Q264" i="59"/>
  <c r="O264" i="59"/>
  <c r="K264" i="59"/>
  <c r="I264" i="59"/>
  <c r="G264" i="59"/>
  <c r="M264" i="59" s="1"/>
  <c r="Q261" i="59"/>
  <c r="O261" i="59"/>
  <c r="K261" i="59"/>
  <c r="I261" i="59"/>
  <c r="G261" i="59"/>
  <c r="M261" i="59" s="1"/>
  <c r="Q258" i="59"/>
  <c r="O258" i="59"/>
  <c r="K258" i="59"/>
  <c r="I258" i="59"/>
  <c r="G258" i="59"/>
  <c r="M258" i="59" s="1"/>
  <c r="Q255" i="59"/>
  <c r="O255" i="59"/>
  <c r="K255" i="59"/>
  <c r="I255" i="59"/>
  <c r="G255" i="59"/>
  <c r="Q251" i="59"/>
  <c r="O251" i="59"/>
  <c r="K251" i="59"/>
  <c r="I251" i="59"/>
  <c r="G251" i="59"/>
  <c r="M251" i="59" s="1"/>
  <c r="Q248" i="59"/>
  <c r="O248" i="59"/>
  <c r="K248" i="59"/>
  <c r="I248" i="59"/>
  <c r="G248" i="59"/>
  <c r="M248" i="59" s="1"/>
  <c r="Q245" i="59"/>
  <c r="Q241" i="59" s="1"/>
  <c r="O245" i="59"/>
  <c r="O241" i="59" s="1"/>
  <c r="K245" i="59"/>
  <c r="K241" i="59" s="1"/>
  <c r="I245" i="59"/>
  <c r="I241" i="59" s="1"/>
  <c r="G245" i="59"/>
  <c r="M245" i="59" s="1"/>
  <c r="Q242" i="59"/>
  <c r="O242" i="59"/>
  <c r="K242" i="59"/>
  <c r="I242" i="59"/>
  <c r="G242" i="59"/>
  <c r="M242" i="59" s="1"/>
  <c r="G205" i="59"/>
  <c r="M205" i="59" s="1"/>
  <c r="Q204" i="59"/>
  <c r="O204" i="59"/>
  <c r="K204" i="59"/>
  <c r="I204" i="59"/>
  <c r="Q201" i="59"/>
  <c r="O201" i="59"/>
  <c r="K201" i="59"/>
  <c r="I201" i="59"/>
  <c r="G201" i="59"/>
  <c r="G200" i="59" s="1"/>
  <c r="I78" i="1" s="1"/>
  <c r="Q200" i="59"/>
  <c r="O200" i="59"/>
  <c r="K200" i="59"/>
  <c r="I200" i="59"/>
  <c r="Q197" i="59"/>
  <c r="O197" i="59"/>
  <c r="K197" i="59"/>
  <c r="I197" i="59"/>
  <c r="G197" i="59"/>
  <c r="M197" i="59" s="1"/>
  <c r="E189" i="59"/>
  <c r="O189" i="59" s="1"/>
  <c r="Q187" i="59"/>
  <c r="O187" i="59"/>
  <c r="K187" i="59"/>
  <c r="I187" i="59"/>
  <c r="G187" i="59"/>
  <c r="M187" i="59" s="1"/>
  <c r="Q184" i="59"/>
  <c r="O184" i="59"/>
  <c r="K184" i="59"/>
  <c r="I184" i="59"/>
  <c r="G184" i="59"/>
  <c r="M184" i="59" s="1"/>
  <c r="Q178" i="59"/>
  <c r="O178" i="59"/>
  <c r="K178" i="59"/>
  <c r="I178" i="59"/>
  <c r="G178" i="59"/>
  <c r="M178" i="59" s="1"/>
  <c r="Q176" i="59"/>
  <c r="O176" i="59"/>
  <c r="K176" i="59"/>
  <c r="I176" i="59"/>
  <c r="G176" i="59"/>
  <c r="M176" i="59" s="1"/>
  <c r="Q174" i="59"/>
  <c r="O174" i="59"/>
  <c r="K174" i="59"/>
  <c r="I174" i="59"/>
  <c r="G174" i="59"/>
  <c r="M174" i="59" s="1"/>
  <c r="Q168" i="59"/>
  <c r="O168" i="59"/>
  <c r="K168" i="59"/>
  <c r="I168" i="59"/>
  <c r="G168" i="59"/>
  <c r="M168" i="59" s="1"/>
  <c r="Q166" i="59"/>
  <c r="O166" i="59"/>
  <c r="K166" i="59"/>
  <c r="I166" i="59"/>
  <c r="G166" i="59"/>
  <c r="M166" i="59" s="1"/>
  <c r="Q164" i="59"/>
  <c r="O164" i="59"/>
  <c r="K164" i="59"/>
  <c r="I164" i="59"/>
  <c r="G164" i="59"/>
  <c r="M164" i="59" s="1"/>
  <c r="E161" i="59"/>
  <c r="K161" i="59" s="1"/>
  <c r="E159" i="59"/>
  <c r="I159" i="59" s="1"/>
  <c r="E155" i="59"/>
  <c r="E157" i="59" s="1"/>
  <c r="K157" i="59" s="1"/>
  <c r="E151" i="59"/>
  <c r="E153" i="59" s="1"/>
  <c r="O153" i="59" s="1"/>
  <c r="E149" i="59"/>
  <c r="G149" i="59" s="1"/>
  <c r="M149" i="59" s="1"/>
  <c r="Q147" i="59"/>
  <c r="O147" i="59"/>
  <c r="K147" i="59"/>
  <c r="I147" i="59"/>
  <c r="G147" i="59"/>
  <c r="M147" i="59" s="1"/>
  <c r="Q145" i="59"/>
  <c r="O145" i="59"/>
  <c r="K145" i="59"/>
  <c r="I145" i="59"/>
  <c r="G145" i="59"/>
  <c r="M145" i="59" s="1"/>
  <c r="Q135" i="59"/>
  <c r="O135" i="59"/>
  <c r="K135" i="59"/>
  <c r="I135" i="59"/>
  <c r="G135" i="59"/>
  <c r="M135" i="59" s="1"/>
  <c r="Q133" i="59"/>
  <c r="O133" i="59"/>
  <c r="K133" i="59"/>
  <c r="I133" i="59"/>
  <c r="G133" i="59"/>
  <c r="M133" i="59" s="1"/>
  <c r="E128" i="59"/>
  <c r="Q128" i="59" s="1"/>
  <c r="E126" i="59"/>
  <c r="G126" i="59" s="1"/>
  <c r="M126" i="59" s="1"/>
  <c r="E122" i="59"/>
  <c r="Q122" i="59" s="1"/>
  <c r="I100" i="59"/>
  <c r="E79" i="59"/>
  <c r="E76" i="59"/>
  <c r="K76" i="59" s="1"/>
  <c r="V74" i="59"/>
  <c r="E64" i="59"/>
  <c r="O64" i="59" s="1"/>
  <c r="V61" i="59"/>
  <c r="Q61" i="59"/>
  <c r="O61" i="59"/>
  <c r="K61" i="59"/>
  <c r="I61" i="59"/>
  <c r="G61" i="59"/>
  <c r="M61" i="59" s="1"/>
  <c r="A42" i="59"/>
  <c r="A48" i="59" s="1"/>
  <c r="A51" i="59" s="1"/>
  <c r="A55" i="59" s="1"/>
  <c r="A58" i="59" s="1"/>
  <c r="A61" i="59" s="1"/>
  <c r="A64" i="59" s="1"/>
  <c r="A66" i="59" s="1"/>
  <c r="A69" i="59" s="1"/>
  <c r="A73" i="59" s="1"/>
  <c r="A76" i="59" s="1"/>
  <c r="A79" i="59" s="1"/>
  <c r="A82" i="59" s="1"/>
  <c r="A85" i="59" s="1"/>
  <c r="A88" i="59" s="1"/>
  <c r="A91" i="59" s="1"/>
  <c r="A94" i="59" s="1"/>
  <c r="V28" i="59"/>
  <c r="V8" i="59" s="1"/>
  <c r="A13" i="59"/>
  <c r="A17" i="59" s="1"/>
  <c r="A21" i="59" s="1"/>
  <c r="A25" i="59" s="1"/>
  <c r="A29" i="59" s="1"/>
  <c r="Q249" i="12"/>
  <c r="O249" i="12"/>
  <c r="K249" i="12"/>
  <c r="I249" i="12"/>
  <c r="G249" i="12"/>
  <c r="M249" i="12" s="1"/>
  <c r="E230" i="12"/>
  <c r="E229" i="12" s="1"/>
  <c r="E227" i="12"/>
  <c r="E226" i="12" s="1"/>
  <c r="E224" i="12"/>
  <c r="E223" i="12" s="1"/>
  <c r="E204" i="12"/>
  <c r="E206" i="12" s="1"/>
  <c r="E57" i="12"/>
  <c r="E56" i="12"/>
  <c r="Q56" i="12" s="1"/>
  <c r="E54" i="12"/>
  <c r="E53" i="12" s="1"/>
  <c r="K53" i="12" s="1"/>
  <c r="E185" i="12"/>
  <c r="O185" i="12" s="1"/>
  <c r="E189" i="12"/>
  <c r="E188" i="12" s="1"/>
  <c r="E191" i="12" s="1"/>
  <c r="E170" i="12"/>
  <c r="E168" i="12" s="1"/>
  <c r="Q183" i="12"/>
  <c r="O183" i="12"/>
  <c r="K183" i="12"/>
  <c r="I183" i="12"/>
  <c r="G183" i="12"/>
  <c r="M183" i="12" s="1"/>
  <c r="Q180" i="12"/>
  <c r="O180" i="12"/>
  <c r="K180" i="12"/>
  <c r="I180" i="12"/>
  <c r="G180" i="12"/>
  <c r="M180" i="12" s="1"/>
  <c r="Q176" i="12"/>
  <c r="O176" i="12"/>
  <c r="K176" i="12"/>
  <c r="I176" i="12"/>
  <c r="G176" i="12"/>
  <c r="M176" i="12" s="1"/>
  <c r="Q174" i="12"/>
  <c r="O174" i="12"/>
  <c r="K174" i="12"/>
  <c r="I174" i="12"/>
  <c r="G174" i="12"/>
  <c r="M174" i="12" s="1"/>
  <c r="E158" i="12"/>
  <c r="Q158" i="12" s="1"/>
  <c r="Q156" i="12"/>
  <c r="O156" i="12"/>
  <c r="K156" i="12"/>
  <c r="I156" i="12"/>
  <c r="G156" i="12"/>
  <c r="M156" i="12" s="1"/>
  <c r="K154" i="12"/>
  <c r="Q154" i="12"/>
  <c r="K152" i="12"/>
  <c r="Q152" i="12"/>
  <c r="Q150" i="12"/>
  <c r="Q148" i="12"/>
  <c r="Q146" i="12"/>
  <c r="O146" i="12"/>
  <c r="K146" i="12"/>
  <c r="I146" i="12"/>
  <c r="G146" i="12"/>
  <c r="M146" i="12" s="1"/>
  <c r="Q144" i="12"/>
  <c r="O144" i="12"/>
  <c r="K144" i="12"/>
  <c r="I144" i="12"/>
  <c r="G144" i="12"/>
  <c r="M144" i="12" s="1"/>
  <c r="Q142" i="12"/>
  <c r="E139" i="12"/>
  <c r="K139" i="12" s="1"/>
  <c r="E137" i="12"/>
  <c r="K137" i="12" s="1"/>
  <c r="E133" i="12"/>
  <c r="O133" i="12" s="1"/>
  <c r="E129" i="12"/>
  <c r="O129" i="12" s="1"/>
  <c r="E127" i="12"/>
  <c r="O127" i="12" s="1"/>
  <c r="Q125" i="12"/>
  <c r="O125" i="12"/>
  <c r="K125" i="12"/>
  <c r="I125" i="12"/>
  <c r="G125" i="12"/>
  <c r="M125" i="12" s="1"/>
  <c r="Q123" i="12"/>
  <c r="O123" i="12"/>
  <c r="K123" i="12"/>
  <c r="I123" i="12"/>
  <c r="G123" i="12"/>
  <c r="M123" i="12" s="1"/>
  <c r="Q121" i="12"/>
  <c r="O121" i="12"/>
  <c r="K121" i="12"/>
  <c r="I121" i="12"/>
  <c r="G121" i="12"/>
  <c r="M121" i="12" s="1"/>
  <c r="E84" i="12"/>
  <c r="E83" i="12" s="1"/>
  <c r="E81" i="12"/>
  <c r="E80" i="12" s="1"/>
  <c r="E77" i="12"/>
  <c r="K77" i="12" s="1"/>
  <c r="E74" i="12"/>
  <c r="E90" i="12"/>
  <c r="E89" i="12" s="1"/>
  <c r="E87" i="12"/>
  <c r="E86" i="12" s="1"/>
  <c r="E112" i="12"/>
  <c r="G112" i="12" s="1"/>
  <c r="M112" i="12" s="1"/>
  <c r="E114" i="12"/>
  <c r="Q114" i="12" s="1"/>
  <c r="E108" i="12"/>
  <c r="E102" i="12"/>
  <c r="E100" i="12" s="1"/>
  <c r="K96" i="12"/>
  <c r="E92" i="12"/>
  <c r="Q106" i="12"/>
  <c r="O106" i="12"/>
  <c r="K106" i="12"/>
  <c r="I106" i="12"/>
  <c r="G106" i="12"/>
  <c r="M106" i="12" s="1"/>
  <c r="Q104" i="12"/>
  <c r="O104" i="12"/>
  <c r="K104" i="12"/>
  <c r="I104" i="12"/>
  <c r="G104" i="12"/>
  <c r="M104" i="12" s="1"/>
  <c r="Q98" i="12"/>
  <c r="O98" i="12"/>
  <c r="K98" i="12"/>
  <c r="I98" i="12"/>
  <c r="G98" i="12"/>
  <c r="M98" i="12" s="1"/>
  <c r="Q96" i="12"/>
  <c r="O96" i="12"/>
  <c r="G96" i="12"/>
  <c r="M96" i="12" s="1"/>
  <c r="G77" i="12"/>
  <c r="M77" i="12" s="1"/>
  <c r="E69" i="12"/>
  <c r="E67" i="12" s="1"/>
  <c r="E65" i="12"/>
  <c r="E64" i="12" s="1"/>
  <c r="K64" i="12" s="1"/>
  <c r="A41" i="12"/>
  <c r="A46" i="12" s="1"/>
  <c r="A49" i="12" s="1"/>
  <c r="A53" i="12" s="1"/>
  <c r="A56" i="12" s="1"/>
  <c r="A59" i="12" s="1"/>
  <c r="E43" i="12"/>
  <c r="E51" i="12"/>
  <c r="E49" i="12" s="1"/>
  <c r="K49" i="12" s="1"/>
  <c r="E39" i="12"/>
  <c r="E37" i="12" s="1"/>
  <c r="K37" i="12" s="1"/>
  <c r="E35" i="12"/>
  <c r="E33" i="12" s="1"/>
  <c r="E27" i="12"/>
  <c r="E25" i="12" s="1"/>
  <c r="A13" i="12"/>
  <c r="A17" i="12" s="1"/>
  <c r="A21" i="12" s="1"/>
  <c r="A25" i="12" s="1"/>
  <c r="E11" i="12"/>
  <c r="E9" i="12" s="1"/>
  <c r="E21" i="12"/>
  <c r="Q21" i="12" s="1"/>
  <c r="E19" i="12"/>
  <c r="E17" i="12" s="1"/>
  <c r="K17" i="12" s="1"/>
  <c r="E15" i="12"/>
  <c r="E13" i="12" s="1"/>
  <c r="E213" i="59" l="1"/>
  <c r="E217" i="59"/>
  <c r="E223" i="59"/>
  <c r="G207" i="61"/>
  <c r="I64" i="1" s="1"/>
  <c r="O99" i="61"/>
  <c r="E224" i="61"/>
  <c r="Q224" i="61" s="1"/>
  <c r="I99" i="61"/>
  <c r="E228" i="61"/>
  <c r="O203" i="61"/>
  <c r="K203" i="61"/>
  <c r="I203" i="61"/>
  <c r="G203" i="61"/>
  <c r="M203" i="61" s="1"/>
  <c r="Q203" i="61"/>
  <c r="E234" i="61"/>
  <c r="E232" i="61" s="1"/>
  <c r="I232" i="61" s="1"/>
  <c r="G99" i="61"/>
  <c r="M99" i="61" s="1"/>
  <c r="Q99" i="61"/>
  <c r="A186" i="61"/>
  <c r="A188" i="61" s="1"/>
  <c r="A190" i="61" s="1"/>
  <c r="A193" i="61" s="1"/>
  <c r="A195" i="61" s="1"/>
  <c r="A198" i="61" s="1"/>
  <c r="A201" i="61" s="1"/>
  <c r="A203" i="61" s="1"/>
  <c r="A208" i="61" s="1"/>
  <c r="I164" i="12"/>
  <c r="Q164" i="12"/>
  <c r="G143" i="59"/>
  <c r="M143" i="59" s="1"/>
  <c r="I143" i="59"/>
  <c r="K143" i="59"/>
  <c r="O143" i="59"/>
  <c r="E69" i="61"/>
  <c r="E68" i="61" s="1"/>
  <c r="K68" i="61" s="1"/>
  <c r="K106" i="61"/>
  <c r="G106" i="61"/>
  <c r="M106" i="61" s="1"/>
  <c r="E33" i="61"/>
  <c r="O33" i="61" s="1"/>
  <c r="A143" i="61"/>
  <c r="A145" i="61" s="1"/>
  <c r="Q163" i="61"/>
  <c r="I106" i="61"/>
  <c r="E48" i="61"/>
  <c r="E43" i="61" s="1"/>
  <c r="E51" i="61" s="1"/>
  <c r="K167" i="61"/>
  <c r="K102" i="61"/>
  <c r="O102" i="61"/>
  <c r="G102" i="61"/>
  <c r="M102" i="61" s="1"/>
  <c r="Q102" i="61"/>
  <c r="Q159" i="61"/>
  <c r="E53" i="61"/>
  <c r="K53" i="61" s="1"/>
  <c r="G157" i="61"/>
  <c r="M157" i="61" s="1"/>
  <c r="I157" i="61"/>
  <c r="I161" i="61"/>
  <c r="K165" i="61"/>
  <c r="K161" i="61"/>
  <c r="M208" i="61"/>
  <c r="M207" i="61" s="1"/>
  <c r="K110" i="61"/>
  <c r="I102" i="61"/>
  <c r="I93" i="61"/>
  <c r="K93" i="61"/>
  <c r="K21" i="61"/>
  <c r="G21" i="61"/>
  <c r="M21" i="61" s="1"/>
  <c r="K198" i="61"/>
  <c r="E201" i="61"/>
  <c r="O201" i="61" s="1"/>
  <c r="I198" i="61"/>
  <c r="O198" i="61"/>
  <c r="G78" i="61"/>
  <c r="M78" i="61" s="1"/>
  <c r="G114" i="61"/>
  <c r="M114" i="61" s="1"/>
  <c r="O60" i="61"/>
  <c r="I90" i="61"/>
  <c r="Q106" i="61"/>
  <c r="Q110" i="61"/>
  <c r="I114" i="61"/>
  <c r="K155" i="61"/>
  <c r="K157" i="61"/>
  <c r="Q161" i="61"/>
  <c r="G165" i="61"/>
  <c r="M165" i="61" s="1"/>
  <c r="O195" i="61"/>
  <c r="Q165" i="61"/>
  <c r="K265" i="61"/>
  <c r="K90" i="61"/>
  <c r="O114" i="61"/>
  <c r="Q157" i="61"/>
  <c r="G161" i="61"/>
  <c r="M161" i="61" s="1"/>
  <c r="I165" i="61"/>
  <c r="G252" i="61"/>
  <c r="I68" i="1" s="1"/>
  <c r="G39" i="61"/>
  <c r="M39" i="61" s="1"/>
  <c r="O39" i="61"/>
  <c r="K29" i="61"/>
  <c r="G29" i="61"/>
  <c r="M29" i="61" s="1"/>
  <c r="I29" i="61"/>
  <c r="K96" i="61"/>
  <c r="Q96" i="61"/>
  <c r="O96" i="61"/>
  <c r="I96" i="61"/>
  <c r="G96" i="61"/>
  <c r="M96" i="61" s="1"/>
  <c r="I87" i="61"/>
  <c r="K87" i="61"/>
  <c r="Q116" i="61"/>
  <c r="Q176" i="61"/>
  <c r="Q60" i="61"/>
  <c r="O108" i="61"/>
  <c r="O124" i="61"/>
  <c r="O167" i="61"/>
  <c r="G176" i="61"/>
  <c r="M176" i="61" s="1"/>
  <c r="Q195" i="61"/>
  <c r="I265" i="61"/>
  <c r="Q265" i="61"/>
  <c r="G60" i="61"/>
  <c r="M60" i="61" s="1"/>
  <c r="G66" i="61"/>
  <c r="M66" i="61" s="1"/>
  <c r="G81" i="61"/>
  <c r="M81" i="61" s="1"/>
  <c r="O90" i="61"/>
  <c r="G108" i="61"/>
  <c r="M108" i="61" s="1"/>
  <c r="Q108" i="61"/>
  <c r="I116" i="61"/>
  <c r="G155" i="61"/>
  <c r="M155" i="61" s="1"/>
  <c r="Q155" i="61"/>
  <c r="G167" i="61"/>
  <c r="M167" i="61" s="1"/>
  <c r="Q167" i="61"/>
  <c r="I176" i="61"/>
  <c r="G195" i="61"/>
  <c r="M195" i="61" s="1"/>
  <c r="Q198" i="61"/>
  <c r="G215" i="61"/>
  <c r="I65" i="1" s="1"/>
  <c r="O265" i="61"/>
  <c r="G116" i="61"/>
  <c r="M116" i="61" s="1"/>
  <c r="O130" i="61"/>
  <c r="O155" i="61"/>
  <c r="I60" i="61"/>
  <c r="O66" i="61"/>
  <c r="G90" i="61"/>
  <c r="M90" i="61" s="1"/>
  <c r="Q114" i="61"/>
  <c r="O116" i="61"/>
  <c r="G128" i="61"/>
  <c r="M128" i="61" s="1"/>
  <c r="O157" i="61"/>
  <c r="O161" i="61"/>
  <c r="O176" i="61"/>
  <c r="I195" i="61"/>
  <c r="G198" i="61"/>
  <c r="M198" i="61" s="1"/>
  <c r="M253" i="61"/>
  <c r="M252" i="61" s="1"/>
  <c r="O29" i="61"/>
  <c r="Q29" i="61"/>
  <c r="O21" i="61"/>
  <c r="G17" i="61"/>
  <c r="M17" i="61" s="1"/>
  <c r="I17" i="61"/>
  <c r="Q17" i="61"/>
  <c r="O17" i="61"/>
  <c r="Q84" i="61"/>
  <c r="I84" i="61"/>
  <c r="O84" i="61"/>
  <c r="G84" i="61"/>
  <c r="M84" i="61" s="1"/>
  <c r="K84" i="61"/>
  <c r="Q13" i="61"/>
  <c r="I13" i="61"/>
  <c r="O13" i="61"/>
  <c r="G13" i="61"/>
  <c r="M13" i="61" s="1"/>
  <c r="K13" i="61"/>
  <c r="Q57" i="61"/>
  <c r="I57" i="61"/>
  <c r="O57" i="61"/>
  <c r="G57" i="61"/>
  <c r="M57" i="61" s="1"/>
  <c r="K57" i="61"/>
  <c r="K249" i="61"/>
  <c r="Q249" i="61"/>
  <c r="I249" i="61"/>
  <c r="G9" i="61"/>
  <c r="O9" i="61"/>
  <c r="I21" i="61"/>
  <c r="Q21" i="61"/>
  <c r="G25" i="61"/>
  <c r="M25" i="61" s="1"/>
  <c r="O25" i="61"/>
  <c r="I39" i="61"/>
  <c r="Q39" i="61"/>
  <c r="I66" i="61"/>
  <c r="Q66" i="61"/>
  <c r="G71" i="61"/>
  <c r="M71" i="61" s="1"/>
  <c r="O71" i="61"/>
  <c r="Q81" i="61"/>
  <c r="I81" i="61"/>
  <c r="O81" i="61"/>
  <c r="O110" i="61"/>
  <c r="G110" i="61"/>
  <c r="M110" i="61" s="1"/>
  <c r="O159" i="61"/>
  <c r="G159" i="61"/>
  <c r="M159" i="61" s="1"/>
  <c r="K159" i="61"/>
  <c r="O163" i="61"/>
  <c r="G163" i="61"/>
  <c r="M163" i="61" s="1"/>
  <c r="K163" i="61"/>
  <c r="O246" i="61"/>
  <c r="G246" i="61"/>
  <c r="M246" i="61" s="1"/>
  <c r="K246" i="61"/>
  <c r="M266" i="61"/>
  <c r="M265" i="61" s="1"/>
  <c r="G265" i="61"/>
  <c r="I69" i="1" s="1"/>
  <c r="I9" i="61"/>
  <c r="Q9" i="61"/>
  <c r="I25" i="61"/>
  <c r="Q25" i="61"/>
  <c r="I71" i="61"/>
  <c r="Q71" i="61"/>
  <c r="Q87" i="61"/>
  <c r="O87" i="61"/>
  <c r="G87" i="61"/>
  <c r="M87" i="61" s="1"/>
  <c r="O93" i="61"/>
  <c r="G93" i="61"/>
  <c r="M93" i="61" s="1"/>
  <c r="E238" i="61"/>
  <c r="E243" i="61"/>
  <c r="G249" i="61"/>
  <c r="M249" i="61" s="1"/>
  <c r="Q78" i="61"/>
  <c r="I78" i="61"/>
  <c r="O78" i="61"/>
  <c r="K149" i="61"/>
  <c r="Q149" i="61"/>
  <c r="I149" i="61"/>
  <c r="O149" i="61"/>
  <c r="G149" i="61"/>
  <c r="M149" i="61" s="1"/>
  <c r="I246" i="61"/>
  <c r="O249" i="61"/>
  <c r="Q124" i="61"/>
  <c r="Q130" i="61"/>
  <c r="K116" i="61"/>
  <c r="O128" i="61"/>
  <c r="G130" i="61"/>
  <c r="M130" i="61" s="1"/>
  <c r="M219" i="61"/>
  <c r="M215" i="61" s="1"/>
  <c r="G137" i="59"/>
  <c r="M137" i="59" s="1"/>
  <c r="O137" i="59"/>
  <c r="G139" i="59"/>
  <c r="M139" i="59" s="1"/>
  <c r="O139" i="59"/>
  <c r="I137" i="59"/>
  <c r="I139" i="59"/>
  <c r="M204" i="59"/>
  <c r="K141" i="59"/>
  <c r="G141" i="59"/>
  <c r="M141" i="59" s="1"/>
  <c r="O141" i="59"/>
  <c r="I141" i="59"/>
  <c r="G204" i="59"/>
  <c r="I79" i="1" s="1"/>
  <c r="K164" i="12"/>
  <c r="G160" i="12"/>
  <c r="M160" i="12" s="1"/>
  <c r="O160" i="12"/>
  <c r="A97" i="59"/>
  <c r="A100" i="59" s="1"/>
  <c r="A104" i="59" s="1"/>
  <c r="A106" i="59" s="1"/>
  <c r="A108" i="59" s="1"/>
  <c r="A112" i="59" s="1"/>
  <c r="A114" i="59" s="1"/>
  <c r="A116" i="59" s="1"/>
  <c r="A120" i="59" s="1"/>
  <c r="A122" i="59" s="1"/>
  <c r="A126" i="59" s="1"/>
  <c r="A128" i="59" s="1"/>
  <c r="A133" i="59" s="1"/>
  <c r="O91" i="59"/>
  <c r="I91" i="59"/>
  <c r="Q91" i="59"/>
  <c r="G91" i="59"/>
  <c r="M91" i="59" s="1"/>
  <c r="O97" i="59"/>
  <c r="I97" i="59"/>
  <c r="Q97" i="59"/>
  <c r="G97" i="59"/>
  <c r="M97" i="59" s="1"/>
  <c r="I114" i="59"/>
  <c r="Q213" i="59"/>
  <c r="K114" i="59"/>
  <c r="K116" i="59"/>
  <c r="Q116" i="59"/>
  <c r="I116" i="59"/>
  <c r="O116" i="59"/>
  <c r="G116" i="59"/>
  <c r="M116" i="59" s="1"/>
  <c r="I104" i="59"/>
  <c r="K104" i="59"/>
  <c r="Q104" i="59"/>
  <c r="G104" i="59"/>
  <c r="M104" i="59" s="1"/>
  <c r="O106" i="59"/>
  <c r="O112" i="59"/>
  <c r="O114" i="59"/>
  <c r="K155" i="59"/>
  <c r="G114" i="59"/>
  <c r="M114" i="59" s="1"/>
  <c r="O155" i="59"/>
  <c r="G106" i="59"/>
  <c r="M106" i="59" s="1"/>
  <c r="Q106" i="59"/>
  <c r="I106" i="59"/>
  <c r="G112" i="59"/>
  <c r="M112" i="59" s="1"/>
  <c r="K106" i="59"/>
  <c r="I112" i="59"/>
  <c r="E227" i="59"/>
  <c r="E221" i="59"/>
  <c r="O221" i="59" s="1"/>
  <c r="K151" i="59"/>
  <c r="E219" i="59"/>
  <c r="Q189" i="59"/>
  <c r="K254" i="59"/>
  <c r="E46" i="59"/>
  <c r="E42" i="59" s="1"/>
  <c r="O254" i="59"/>
  <c r="Q159" i="59"/>
  <c r="Q155" i="59"/>
  <c r="I151" i="59"/>
  <c r="G157" i="59"/>
  <c r="M157" i="59" s="1"/>
  <c r="O151" i="59"/>
  <c r="K159" i="59"/>
  <c r="Q151" i="59"/>
  <c r="O159" i="59"/>
  <c r="K112" i="59"/>
  <c r="O85" i="59"/>
  <c r="G69" i="59"/>
  <c r="M69" i="59" s="1"/>
  <c r="Q69" i="59"/>
  <c r="Q85" i="59"/>
  <c r="I157" i="59"/>
  <c r="O161" i="59"/>
  <c r="Q161" i="59"/>
  <c r="E29" i="59"/>
  <c r="G29" i="59" s="1"/>
  <c r="M29" i="59" s="1"/>
  <c r="K64" i="59"/>
  <c r="I76" i="59"/>
  <c r="G128" i="59"/>
  <c r="M128" i="59" s="1"/>
  <c r="G155" i="59"/>
  <c r="M155" i="59" s="1"/>
  <c r="G159" i="59"/>
  <c r="M159" i="59" s="1"/>
  <c r="E33" i="59"/>
  <c r="G33" i="59" s="1"/>
  <c r="M33" i="59" s="1"/>
  <c r="Q64" i="59"/>
  <c r="O128" i="59"/>
  <c r="G151" i="59"/>
  <c r="M151" i="59" s="1"/>
  <c r="I155" i="59"/>
  <c r="K38" i="59"/>
  <c r="O38" i="59"/>
  <c r="Q38" i="59"/>
  <c r="G238" i="59"/>
  <c r="M238" i="59" s="1"/>
  <c r="O238" i="59"/>
  <c r="G122" i="59"/>
  <c r="M122" i="59" s="1"/>
  <c r="I149" i="59"/>
  <c r="G189" i="59"/>
  <c r="M189" i="59" s="1"/>
  <c r="G161" i="59"/>
  <c r="M161" i="59" s="1"/>
  <c r="I189" i="59"/>
  <c r="G38" i="59"/>
  <c r="M38" i="59" s="1"/>
  <c r="I85" i="59"/>
  <c r="Q126" i="59"/>
  <c r="Q149" i="59"/>
  <c r="I161" i="59"/>
  <c r="K189" i="59"/>
  <c r="O122" i="59"/>
  <c r="K149" i="59"/>
  <c r="G85" i="59"/>
  <c r="M85" i="59" s="1"/>
  <c r="O149" i="59"/>
  <c r="I38" i="59"/>
  <c r="I64" i="59"/>
  <c r="K85" i="59"/>
  <c r="M201" i="59"/>
  <c r="M200" i="59" s="1"/>
  <c r="G235" i="59"/>
  <c r="M235" i="59" s="1"/>
  <c r="Q192" i="59"/>
  <c r="O235" i="59"/>
  <c r="Q235" i="59"/>
  <c r="Q254" i="59"/>
  <c r="O55" i="59"/>
  <c r="Q13" i="59"/>
  <c r="Q9" i="59"/>
  <c r="I9" i="59"/>
  <c r="K9" i="59"/>
  <c r="O66" i="59"/>
  <c r="G66" i="59"/>
  <c r="M66" i="59" s="1"/>
  <c r="G13" i="59"/>
  <c r="M13" i="59" s="1"/>
  <c r="I51" i="59"/>
  <c r="I13" i="59"/>
  <c r="O51" i="59"/>
  <c r="K66" i="59"/>
  <c r="I69" i="59"/>
  <c r="K88" i="59"/>
  <c r="Q88" i="59"/>
  <c r="I88" i="59"/>
  <c r="G88" i="59"/>
  <c r="M88" i="59" s="1"/>
  <c r="G241" i="59"/>
  <c r="I82" i="1" s="1"/>
  <c r="G254" i="59"/>
  <c r="I83" i="1" s="1"/>
  <c r="M255" i="59"/>
  <c r="M254" i="59" s="1"/>
  <c r="Q21" i="59"/>
  <c r="I21" i="59"/>
  <c r="O21" i="59"/>
  <c r="G21" i="59"/>
  <c r="M21" i="59" s="1"/>
  <c r="Q25" i="59"/>
  <c r="I25" i="59"/>
  <c r="O25" i="59"/>
  <c r="G25" i="59"/>
  <c r="M25" i="59" s="1"/>
  <c r="G51" i="59"/>
  <c r="M51" i="59" s="1"/>
  <c r="K108" i="59"/>
  <c r="Q108" i="59"/>
  <c r="I108" i="59"/>
  <c r="O108" i="59"/>
  <c r="G108" i="59"/>
  <c r="M108" i="59" s="1"/>
  <c r="K55" i="59"/>
  <c r="Q55" i="59"/>
  <c r="I55" i="59"/>
  <c r="I66" i="59"/>
  <c r="Q94" i="59"/>
  <c r="I94" i="59"/>
  <c r="K94" i="59"/>
  <c r="G94" i="59"/>
  <c r="M94" i="59" s="1"/>
  <c r="K17" i="59"/>
  <c r="Q17" i="59"/>
  <c r="I17" i="59"/>
  <c r="O9" i="59"/>
  <c r="G9" i="59"/>
  <c r="O13" i="59"/>
  <c r="G17" i="59"/>
  <c r="M17" i="59" s="1"/>
  <c r="Q51" i="59"/>
  <c r="Q58" i="59"/>
  <c r="I58" i="59"/>
  <c r="O58" i="59"/>
  <c r="G58" i="59"/>
  <c r="M58" i="59" s="1"/>
  <c r="Q66" i="59"/>
  <c r="O69" i="59"/>
  <c r="O82" i="59"/>
  <c r="G82" i="59"/>
  <c r="M82" i="59" s="1"/>
  <c r="Q82" i="59"/>
  <c r="K82" i="59"/>
  <c r="O88" i="59"/>
  <c r="K153" i="59"/>
  <c r="I153" i="59"/>
  <c r="G153" i="59"/>
  <c r="Q153" i="59"/>
  <c r="K170" i="59"/>
  <c r="Q170" i="59"/>
  <c r="I170" i="59"/>
  <c r="O170" i="59"/>
  <c r="O79" i="59"/>
  <c r="G79" i="59"/>
  <c r="M79" i="59" s="1"/>
  <c r="Q100" i="59"/>
  <c r="G192" i="59"/>
  <c r="M192" i="59" s="1"/>
  <c r="E232" i="59"/>
  <c r="I79" i="59"/>
  <c r="O157" i="59"/>
  <c r="I192" i="59"/>
  <c r="E195" i="59"/>
  <c r="Q79" i="59"/>
  <c r="O100" i="59"/>
  <c r="G100" i="59"/>
  <c r="M100" i="59" s="1"/>
  <c r="G64" i="59"/>
  <c r="M64" i="59" s="1"/>
  <c r="O76" i="59"/>
  <c r="G76" i="59"/>
  <c r="Q76" i="59"/>
  <c r="K79" i="59"/>
  <c r="K100" i="59"/>
  <c r="O126" i="59"/>
  <c r="Q157" i="59"/>
  <c r="O192" i="59"/>
  <c r="I235" i="59"/>
  <c r="K238" i="59"/>
  <c r="Q238" i="59"/>
  <c r="I238" i="59"/>
  <c r="M241" i="59"/>
  <c r="I254" i="59"/>
  <c r="I137" i="12"/>
  <c r="E218" i="12"/>
  <c r="O223" i="12"/>
  <c r="Q223" i="12"/>
  <c r="I223" i="12"/>
  <c r="G223" i="12"/>
  <c r="M223" i="12" s="1"/>
  <c r="K223" i="12"/>
  <c r="E214" i="12"/>
  <c r="E212" i="12" s="1"/>
  <c r="E208" i="12"/>
  <c r="E210" i="12" s="1"/>
  <c r="G56" i="12"/>
  <c r="M56" i="12" s="1"/>
  <c r="O56" i="12"/>
  <c r="K56" i="12"/>
  <c r="I56" i="12"/>
  <c r="G53" i="12"/>
  <c r="M53" i="12" s="1"/>
  <c r="O53" i="12"/>
  <c r="I53" i="12"/>
  <c r="Q53" i="12"/>
  <c r="G185" i="12"/>
  <c r="M185" i="12" s="1"/>
  <c r="I185" i="12"/>
  <c r="Q185" i="12"/>
  <c r="K185" i="12"/>
  <c r="Q191" i="12"/>
  <c r="K191" i="12"/>
  <c r="G191" i="12"/>
  <c r="M191" i="12" s="1"/>
  <c r="O191" i="12"/>
  <c r="I191" i="12"/>
  <c r="I188" i="12"/>
  <c r="G188" i="12"/>
  <c r="M188" i="12" s="1"/>
  <c r="K188" i="12"/>
  <c r="O188" i="12"/>
  <c r="Q188" i="12"/>
  <c r="G158" i="12"/>
  <c r="M158" i="12" s="1"/>
  <c r="I158" i="12"/>
  <c r="K158" i="12"/>
  <c r="O158" i="12"/>
  <c r="K148" i="12"/>
  <c r="K150" i="12"/>
  <c r="G152" i="12"/>
  <c r="M152" i="12" s="1"/>
  <c r="O152" i="12"/>
  <c r="G154" i="12"/>
  <c r="M154" i="12" s="1"/>
  <c r="O154" i="12"/>
  <c r="I152" i="12"/>
  <c r="I154" i="12"/>
  <c r="G148" i="12"/>
  <c r="M148" i="12" s="1"/>
  <c r="O148" i="12"/>
  <c r="G150" i="12"/>
  <c r="M150" i="12" s="1"/>
  <c r="O150" i="12"/>
  <c r="I148" i="12"/>
  <c r="I150" i="12"/>
  <c r="G129" i="12"/>
  <c r="M129" i="12" s="1"/>
  <c r="G127" i="12"/>
  <c r="M127" i="12" s="1"/>
  <c r="Q139" i="12"/>
  <c r="O137" i="12"/>
  <c r="G139" i="12"/>
  <c r="M139" i="12" s="1"/>
  <c r="G137" i="12"/>
  <c r="M137" i="12" s="1"/>
  <c r="O139" i="12"/>
  <c r="K142" i="12"/>
  <c r="G142" i="12"/>
  <c r="M142" i="12" s="1"/>
  <c r="O142" i="12"/>
  <c r="I142" i="12"/>
  <c r="I129" i="12"/>
  <c r="Q129" i="12"/>
  <c r="Q133" i="12"/>
  <c r="Q137" i="12"/>
  <c r="E135" i="12"/>
  <c r="I135" i="12" s="1"/>
  <c r="I127" i="12"/>
  <c r="G133" i="12"/>
  <c r="M133" i="12" s="1"/>
  <c r="Q127" i="12"/>
  <c r="I133" i="12"/>
  <c r="E131" i="12"/>
  <c r="K131" i="12" s="1"/>
  <c r="I139" i="12"/>
  <c r="K133" i="12"/>
  <c r="K129" i="12"/>
  <c r="K127" i="12"/>
  <c r="G114" i="12"/>
  <c r="M114" i="12" s="1"/>
  <c r="O114" i="12"/>
  <c r="O112" i="12"/>
  <c r="Q112" i="12"/>
  <c r="Q86" i="12"/>
  <c r="K86" i="12"/>
  <c r="I86" i="12"/>
  <c r="O77" i="12"/>
  <c r="Q77" i="12"/>
  <c r="I77" i="12"/>
  <c r="O86" i="12"/>
  <c r="G86" i="12"/>
  <c r="M86" i="12" s="1"/>
  <c r="O100" i="12"/>
  <c r="G100" i="12"/>
  <c r="M100" i="12" s="1"/>
  <c r="K100" i="12"/>
  <c r="I100" i="12"/>
  <c r="Q100" i="12"/>
  <c r="I96" i="12"/>
  <c r="Q64" i="12"/>
  <c r="G64" i="12"/>
  <c r="M64" i="12" s="1"/>
  <c r="O64" i="12"/>
  <c r="I64" i="12"/>
  <c r="E44" i="12"/>
  <c r="E41" i="12" s="1"/>
  <c r="G49" i="12"/>
  <c r="M49" i="12" s="1"/>
  <c r="O49" i="12"/>
  <c r="Q49" i="12"/>
  <c r="I49" i="12"/>
  <c r="O37" i="12"/>
  <c r="I37" i="12"/>
  <c r="Q37" i="12"/>
  <c r="G37" i="12"/>
  <c r="M37" i="12" s="1"/>
  <c r="A29" i="12"/>
  <c r="G29" i="12"/>
  <c r="M29" i="12" s="1"/>
  <c r="O29" i="12"/>
  <c r="I29" i="12"/>
  <c r="Q29" i="12"/>
  <c r="K13" i="12"/>
  <c r="O13" i="12"/>
  <c r="G13" i="12"/>
  <c r="M13" i="12" s="1"/>
  <c r="K21" i="12"/>
  <c r="I13" i="12"/>
  <c r="Q13" i="12"/>
  <c r="G17" i="12"/>
  <c r="M17" i="12" s="1"/>
  <c r="O17" i="12"/>
  <c r="I17" i="12"/>
  <c r="Q17" i="12"/>
  <c r="G21" i="12"/>
  <c r="M21" i="12" s="1"/>
  <c r="O21" i="12"/>
  <c r="I21" i="12"/>
  <c r="K92" i="12"/>
  <c r="Q92" i="12"/>
  <c r="I68" i="61" l="1"/>
  <c r="A211" i="61"/>
  <c r="A216" i="61" s="1"/>
  <c r="A219" i="61" s="1"/>
  <c r="A224" i="61" s="1"/>
  <c r="A228" i="61" s="1"/>
  <c r="A232" i="61" s="1"/>
  <c r="A237" i="61" s="1"/>
  <c r="A240" i="61" s="1"/>
  <c r="A243" i="61" s="1"/>
  <c r="A246" i="61" s="1"/>
  <c r="A249" i="61" s="1"/>
  <c r="A253" i="61" s="1"/>
  <c r="A256" i="61" s="1"/>
  <c r="A259" i="61" s="1"/>
  <c r="A262" i="61" s="1"/>
  <c r="A266" i="61" s="1"/>
  <c r="A269" i="61" s="1"/>
  <c r="A272" i="61" s="1"/>
  <c r="A275" i="61" s="1"/>
  <c r="G68" i="61"/>
  <c r="M68" i="61" s="1"/>
  <c r="O68" i="61"/>
  <c r="G224" i="61"/>
  <c r="M224" i="61" s="1"/>
  <c r="E226" i="61"/>
  <c r="O224" i="61"/>
  <c r="I201" i="61"/>
  <c r="I134" i="61" s="1"/>
  <c r="I224" i="61"/>
  <c r="K224" i="61"/>
  <c r="Q68" i="61"/>
  <c r="Q43" i="61"/>
  <c r="Q53" i="61"/>
  <c r="O53" i="61"/>
  <c r="K77" i="61"/>
  <c r="I53" i="61"/>
  <c r="G53" i="61"/>
  <c r="M53" i="61" s="1"/>
  <c r="O232" i="61"/>
  <c r="Q232" i="61"/>
  <c r="G232" i="61"/>
  <c r="M232" i="61" s="1"/>
  <c r="K232" i="61"/>
  <c r="Q201" i="61"/>
  <c r="G201" i="61"/>
  <c r="M201" i="61" s="1"/>
  <c r="M134" i="61" s="1"/>
  <c r="K201" i="61"/>
  <c r="K134" i="61" s="1"/>
  <c r="E50" i="61"/>
  <c r="O50" i="61" s="1"/>
  <c r="Q134" i="61"/>
  <c r="K43" i="61"/>
  <c r="O43" i="61"/>
  <c r="E75" i="61"/>
  <c r="O75" i="61" s="1"/>
  <c r="G33" i="61"/>
  <c r="M33" i="61" s="1"/>
  <c r="Q33" i="61"/>
  <c r="K33" i="61"/>
  <c r="I33" i="61"/>
  <c r="I77" i="61"/>
  <c r="Q77" i="61"/>
  <c r="I43" i="61"/>
  <c r="M77" i="61"/>
  <c r="O134" i="61"/>
  <c r="G43" i="61"/>
  <c r="M43" i="61" s="1"/>
  <c r="E230" i="61"/>
  <c r="K228" i="61"/>
  <c r="Q228" i="61"/>
  <c r="I228" i="61"/>
  <c r="O228" i="61"/>
  <c r="G228" i="61"/>
  <c r="M228" i="61" s="1"/>
  <c r="Q243" i="61"/>
  <c r="I243" i="61"/>
  <c r="O243" i="61"/>
  <c r="G243" i="61"/>
  <c r="M243" i="61" s="1"/>
  <c r="K243" i="61"/>
  <c r="E241" i="61"/>
  <c r="E240" i="61" s="1"/>
  <c r="E237" i="61"/>
  <c r="O77" i="61"/>
  <c r="G77" i="61"/>
  <c r="I62" i="1" s="1"/>
  <c r="M9" i="61"/>
  <c r="A135" i="59"/>
  <c r="O213" i="59"/>
  <c r="Q33" i="59"/>
  <c r="I33" i="59"/>
  <c r="I213" i="59"/>
  <c r="E215" i="59"/>
  <c r="K213" i="59"/>
  <c r="G213" i="59"/>
  <c r="M213" i="59" s="1"/>
  <c r="O29" i="59"/>
  <c r="K33" i="59"/>
  <c r="O33" i="59"/>
  <c r="E49" i="59"/>
  <c r="E48" i="59" s="1"/>
  <c r="O48" i="59" s="1"/>
  <c r="E73" i="59"/>
  <c r="O73" i="59" s="1"/>
  <c r="O42" i="59"/>
  <c r="I29" i="59"/>
  <c r="I221" i="59"/>
  <c r="G217" i="59"/>
  <c r="M217" i="59" s="1"/>
  <c r="O217" i="59"/>
  <c r="I217" i="59"/>
  <c r="Q217" i="59"/>
  <c r="K217" i="59"/>
  <c r="Q221" i="59"/>
  <c r="K29" i="59"/>
  <c r="Q29" i="59"/>
  <c r="I75" i="59"/>
  <c r="K221" i="59"/>
  <c r="G221" i="59"/>
  <c r="M221" i="59" s="1"/>
  <c r="G42" i="59"/>
  <c r="M42" i="59" s="1"/>
  <c r="Q42" i="59"/>
  <c r="K42" i="59"/>
  <c r="K75" i="59"/>
  <c r="Q75" i="59"/>
  <c r="I42" i="59"/>
  <c r="K195" i="59"/>
  <c r="K132" i="59" s="1"/>
  <c r="Q195" i="59"/>
  <c r="Q132" i="59" s="1"/>
  <c r="I195" i="59"/>
  <c r="G195" i="59"/>
  <c r="M195" i="59" s="1"/>
  <c r="O195" i="59"/>
  <c r="O132" i="59" s="1"/>
  <c r="O232" i="59"/>
  <c r="G232" i="59"/>
  <c r="M232" i="59" s="1"/>
  <c r="K232" i="59"/>
  <c r="I232" i="59"/>
  <c r="Q232" i="59"/>
  <c r="I132" i="59"/>
  <c r="M153" i="59"/>
  <c r="M132" i="59" s="1"/>
  <c r="M9" i="59"/>
  <c r="G75" i="59"/>
  <c r="I76" i="1" s="1"/>
  <c r="M76" i="59"/>
  <c r="M75" i="59" s="1"/>
  <c r="E230" i="59"/>
  <c r="E229" i="59" s="1"/>
  <c r="E226" i="59"/>
  <c r="O75" i="59"/>
  <c r="E217" i="12"/>
  <c r="E221" i="12"/>
  <c r="E220" i="12" s="1"/>
  <c r="Q208" i="12"/>
  <c r="G208" i="12"/>
  <c r="M208" i="12" s="1"/>
  <c r="I208" i="12"/>
  <c r="K208" i="12"/>
  <c r="O208" i="12"/>
  <c r="O131" i="12"/>
  <c r="G131" i="12"/>
  <c r="M131" i="12" s="1"/>
  <c r="Q131" i="12"/>
  <c r="I131" i="12"/>
  <c r="K135" i="12"/>
  <c r="Q135" i="12"/>
  <c r="O135" i="12"/>
  <c r="G135" i="12"/>
  <c r="M135" i="12" s="1"/>
  <c r="E47" i="12"/>
  <c r="E46" i="12" s="1"/>
  <c r="O46" i="12" s="1"/>
  <c r="E71" i="12"/>
  <c r="G92" i="12"/>
  <c r="M92" i="12" s="1"/>
  <c r="O92" i="12"/>
  <c r="I92" i="12"/>
  <c r="O223" i="61" l="1"/>
  <c r="O212" i="59"/>
  <c r="A137" i="59"/>
  <c r="A139" i="59" s="1"/>
  <c r="A141" i="59" s="1"/>
  <c r="A143" i="59" s="1"/>
  <c r="A145" i="59" s="1"/>
  <c r="A147" i="59" s="1"/>
  <c r="A149" i="59" s="1"/>
  <c r="A151" i="59" s="1"/>
  <c r="A153" i="59" s="1"/>
  <c r="A155" i="59" s="1"/>
  <c r="A157" i="59" s="1"/>
  <c r="A159" i="59" s="1"/>
  <c r="A161" i="59" s="1"/>
  <c r="A164" i="59" s="1"/>
  <c r="A166" i="59" s="1"/>
  <c r="A168" i="59" s="1"/>
  <c r="A170" i="59" s="1"/>
  <c r="A174" i="59" s="1"/>
  <c r="A176" i="59" s="1"/>
  <c r="A178" i="59" s="1"/>
  <c r="I223" i="61"/>
  <c r="K223" i="61"/>
  <c r="Q50" i="61"/>
  <c r="Q223" i="61"/>
  <c r="G50" i="61"/>
  <c r="M50" i="61" s="1"/>
  <c r="K50" i="61"/>
  <c r="G134" i="61"/>
  <c r="I63" i="1" s="1"/>
  <c r="K75" i="61"/>
  <c r="I50" i="61"/>
  <c r="I75" i="61"/>
  <c r="G75" i="61"/>
  <c r="Q75" i="61"/>
  <c r="O8" i="61"/>
  <c r="K237" i="61"/>
  <c r="Q237" i="61"/>
  <c r="I237" i="61"/>
  <c r="G237" i="61"/>
  <c r="O237" i="61"/>
  <c r="K240" i="61"/>
  <c r="Q240" i="61"/>
  <c r="I240" i="61"/>
  <c r="O240" i="61"/>
  <c r="G240" i="61"/>
  <c r="M240" i="61" s="1"/>
  <c r="M223" i="61"/>
  <c r="G223" i="61"/>
  <c r="I66" i="1" s="1"/>
  <c r="G132" i="59"/>
  <c r="I77" i="1" s="1"/>
  <c r="I212" i="59"/>
  <c r="G212" i="59"/>
  <c r="I80" i="1" s="1"/>
  <c r="Q212" i="59"/>
  <c r="M212" i="59"/>
  <c r="K212" i="59"/>
  <c r="Q48" i="59"/>
  <c r="I48" i="59"/>
  <c r="O8" i="59"/>
  <c r="K48" i="59"/>
  <c r="G48" i="59"/>
  <c r="M48" i="59" s="1"/>
  <c r="G73" i="59"/>
  <c r="I73" i="59"/>
  <c r="K73" i="59"/>
  <c r="Q73" i="59"/>
  <c r="Q229" i="59"/>
  <c r="I229" i="59"/>
  <c r="O229" i="59"/>
  <c r="G229" i="59"/>
  <c r="M229" i="59" s="1"/>
  <c r="K229" i="59"/>
  <c r="K226" i="59"/>
  <c r="Q226" i="59"/>
  <c r="I226" i="59"/>
  <c r="O226" i="59"/>
  <c r="G226" i="59"/>
  <c r="Q220" i="12"/>
  <c r="K220" i="12"/>
  <c r="O220" i="12"/>
  <c r="I220" i="12"/>
  <c r="G220" i="12"/>
  <c r="M220" i="12" s="1"/>
  <c r="Q46" i="12"/>
  <c r="G46" i="12"/>
  <c r="M46" i="12" s="1"/>
  <c r="K46" i="12"/>
  <c r="I46" i="12"/>
  <c r="A180" i="59" l="1"/>
  <c r="A182" i="59" s="1"/>
  <c r="A184" i="59" s="1"/>
  <c r="A187" i="59" s="1"/>
  <c r="A189" i="59" s="1"/>
  <c r="A192" i="59" s="1"/>
  <c r="A195" i="59" s="1"/>
  <c r="A197" i="59" s="1"/>
  <c r="A201" i="59" s="1"/>
  <c r="A205" i="59" s="1"/>
  <c r="A208" i="59" s="1"/>
  <c r="A213" i="59" s="1"/>
  <c r="A217" i="59" s="1"/>
  <c r="A221" i="59" s="1"/>
  <c r="A226" i="59" s="1"/>
  <c r="A229" i="59" s="1"/>
  <c r="A232" i="59" s="1"/>
  <c r="A235" i="59" s="1"/>
  <c r="A238" i="59" s="1"/>
  <c r="A242" i="59" s="1"/>
  <c r="A245" i="59" s="1"/>
  <c r="A248" i="59" s="1"/>
  <c r="A251" i="59" s="1"/>
  <c r="A255" i="59" s="1"/>
  <c r="A258" i="59" s="1"/>
  <c r="A261" i="59" s="1"/>
  <c r="A264" i="59" s="1"/>
  <c r="I8" i="61"/>
  <c r="Q8" i="61"/>
  <c r="K8" i="61"/>
  <c r="M75" i="61"/>
  <c r="M8" i="61" s="1"/>
  <c r="G8" i="61"/>
  <c r="I61" i="1" s="1"/>
  <c r="Q236" i="61"/>
  <c r="M237" i="61"/>
  <c r="M236" i="61" s="1"/>
  <c r="G236" i="61"/>
  <c r="I67" i="1" s="1"/>
  <c r="I236" i="61"/>
  <c r="O236" i="61"/>
  <c r="K236" i="61"/>
  <c r="Q8" i="59"/>
  <c r="K225" i="59"/>
  <c r="K8" i="59"/>
  <c r="Q225" i="59"/>
  <c r="I8" i="59"/>
  <c r="M73" i="59"/>
  <c r="M8" i="59" s="1"/>
  <c r="G8" i="59"/>
  <c r="I75" i="1" s="1"/>
  <c r="O225" i="59"/>
  <c r="M226" i="59"/>
  <c r="M225" i="59" s="1"/>
  <c r="G225" i="59"/>
  <c r="I81" i="1" s="1"/>
  <c r="I225" i="59"/>
  <c r="I70" i="1" l="1"/>
  <c r="G279" i="61"/>
  <c r="I84" i="1"/>
  <c r="I51" i="1" s="1"/>
  <c r="G268" i="59"/>
  <c r="I50" i="1" l="1"/>
  <c r="J67" i="1"/>
  <c r="J66" i="1"/>
  <c r="J69" i="1"/>
  <c r="J63" i="1"/>
  <c r="J61" i="1"/>
  <c r="J68" i="1"/>
  <c r="J62" i="1"/>
  <c r="J64" i="1"/>
  <c r="J65" i="1"/>
  <c r="J79" i="1"/>
  <c r="J83" i="1"/>
  <c r="J78" i="1"/>
  <c r="J82" i="1"/>
  <c r="J76" i="1"/>
  <c r="J77" i="1"/>
  <c r="J75" i="1"/>
  <c r="J80" i="1"/>
  <c r="J81" i="1"/>
  <c r="J70" i="1" l="1"/>
  <c r="J84" i="1"/>
  <c r="Q229" i="12"/>
  <c r="G246" i="12"/>
  <c r="M246" i="12" s="1"/>
  <c r="G236" i="12"/>
  <c r="M236" i="12" s="1"/>
  <c r="K172" i="12"/>
  <c r="K67" i="12"/>
  <c r="O33" i="12"/>
  <c r="Q80" i="12"/>
  <c r="O74" i="12"/>
  <c r="Q255" i="12"/>
  <c r="O255" i="12"/>
  <c r="K255" i="12"/>
  <c r="I255" i="12"/>
  <c r="G255" i="12"/>
  <c r="M255" i="12" s="1"/>
  <c r="Q252" i="12"/>
  <c r="O252" i="12"/>
  <c r="K252" i="12"/>
  <c r="I252" i="12"/>
  <c r="G252" i="12"/>
  <c r="M252" i="12" s="1"/>
  <c r="Q246" i="12"/>
  <c r="O246" i="12"/>
  <c r="K246" i="12"/>
  <c r="I246" i="12"/>
  <c r="Q242" i="12"/>
  <c r="O242" i="12"/>
  <c r="K242" i="12"/>
  <c r="I242" i="12"/>
  <c r="G242" i="12"/>
  <c r="M242" i="12" s="1"/>
  <c r="Q239" i="12"/>
  <c r="O239" i="12"/>
  <c r="K239" i="12"/>
  <c r="I239" i="12"/>
  <c r="G239" i="12"/>
  <c r="M239" i="12" s="1"/>
  <c r="Q236" i="12"/>
  <c r="Q232" i="12" s="1"/>
  <c r="O236" i="12"/>
  <c r="O232" i="12" s="1"/>
  <c r="K236" i="12"/>
  <c r="K232" i="12" s="1"/>
  <c r="I236" i="12"/>
  <c r="I232" i="12" s="1"/>
  <c r="Q233" i="12"/>
  <c r="O233" i="12"/>
  <c r="K233" i="12"/>
  <c r="I233" i="12"/>
  <c r="G233" i="12"/>
  <c r="M233" i="12" s="1"/>
  <c r="G201" i="12"/>
  <c r="M201" i="12" s="1"/>
  <c r="M200" i="12" s="1"/>
  <c r="Q200" i="12"/>
  <c r="O200" i="12"/>
  <c r="K200" i="12"/>
  <c r="I200" i="12"/>
  <c r="Q197" i="12"/>
  <c r="O197" i="12"/>
  <c r="K197" i="12"/>
  <c r="I197" i="12"/>
  <c r="G197" i="12"/>
  <c r="Q196" i="12"/>
  <c r="O196" i="12"/>
  <c r="K196" i="12"/>
  <c r="I196" i="12"/>
  <c r="Q193" i="12"/>
  <c r="O193" i="12"/>
  <c r="K193" i="12"/>
  <c r="I193" i="12"/>
  <c r="G193" i="12"/>
  <c r="M193" i="12" s="1"/>
  <c r="Q168" i="12"/>
  <c r="O168" i="12"/>
  <c r="K168" i="12"/>
  <c r="I168" i="12"/>
  <c r="G168" i="12"/>
  <c r="M168" i="12" s="1"/>
  <c r="Q119" i="12"/>
  <c r="O119" i="12"/>
  <c r="K119" i="12"/>
  <c r="I119" i="12"/>
  <c r="G119" i="12"/>
  <c r="M119" i="12" s="1"/>
  <c r="I80" i="12"/>
  <c r="E62" i="12"/>
  <c r="K62" i="12" s="1"/>
  <c r="Q59" i="12"/>
  <c r="O59" i="12"/>
  <c r="K59" i="12"/>
  <c r="I59" i="12"/>
  <c r="G59" i="12"/>
  <c r="M59" i="12" s="1"/>
  <c r="Q25" i="12"/>
  <c r="O25" i="12"/>
  <c r="K25" i="12"/>
  <c r="I25" i="12"/>
  <c r="G25" i="12"/>
  <c r="M25" i="12" s="1"/>
  <c r="M197" i="12" l="1"/>
  <c r="M196" i="12" s="1"/>
  <c r="G196" i="12"/>
  <c r="O172" i="12"/>
  <c r="O118" i="12" s="1"/>
  <c r="K80" i="12"/>
  <c r="O80" i="12"/>
  <c r="I172" i="12"/>
  <c r="I118" i="12" s="1"/>
  <c r="G172" i="12"/>
  <c r="M172" i="12" s="1"/>
  <c r="Q172" i="12"/>
  <c r="Q118" i="12" s="1"/>
  <c r="G80" i="12"/>
  <c r="M80" i="12" s="1"/>
  <c r="I74" i="12"/>
  <c r="I92" i="1"/>
  <c r="I229" i="12"/>
  <c r="K229" i="12"/>
  <c r="G229" i="12"/>
  <c r="M229" i="12" s="1"/>
  <c r="O229" i="12"/>
  <c r="Q74" i="12"/>
  <c r="O41" i="12"/>
  <c r="G33" i="12"/>
  <c r="M33" i="12" s="1"/>
  <c r="G245" i="12"/>
  <c r="I97" i="1" s="1"/>
  <c r="I22" i="1" s="1"/>
  <c r="K33" i="12"/>
  <c r="K245" i="12"/>
  <c r="I245" i="12"/>
  <c r="M245" i="12"/>
  <c r="Q245" i="12"/>
  <c r="O245" i="12"/>
  <c r="M232" i="12"/>
  <c r="I33" i="12"/>
  <c r="Q33" i="12"/>
  <c r="G62" i="12"/>
  <c r="M62" i="12" s="1"/>
  <c r="O62" i="12"/>
  <c r="G67" i="12"/>
  <c r="M67" i="12" s="1"/>
  <c r="O67" i="12"/>
  <c r="K74" i="12"/>
  <c r="K118" i="12"/>
  <c r="G200" i="12"/>
  <c r="I93" i="1" s="1"/>
  <c r="I62" i="12"/>
  <c r="Q62" i="12"/>
  <c r="I67" i="12"/>
  <c r="Q67" i="12"/>
  <c r="G232" i="12"/>
  <c r="I96" i="1" s="1"/>
  <c r="I21" i="1" s="1"/>
  <c r="G74" i="12"/>
  <c r="Q89" i="12" l="1"/>
  <c r="I212" i="12"/>
  <c r="G118" i="12"/>
  <c r="I91" i="1" s="1"/>
  <c r="K41" i="12"/>
  <c r="I41" i="12"/>
  <c r="Q41" i="12"/>
  <c r="O226" i="12"/>
  <c r="O71" i="12"/>
  <c r="Q108" i="12"/>
  <c r="Q204" i="12"/>
  <c r="G41" i="12"/>
  <c r="M41" i="12" s="1"/>
  <c r="A62" i="12"/>
  <c r="G108" i="12"/>
  <c r="M108" i="12" s="1"/>
  <c r="G9" i="12"/>
  <c r="I9" i="12"/>
  <c r="O108" i="12"/>
  <c r="I89" i="12"/>
  <c r="G89" i="12"/>
  <c r="M89" i="12" s="1"/>
  <c r="Q9" i="12"/>
  <c r="O9" i="12"/>
  <c r="K89" i="12"/>
  <c r="Q83" i="12"/>
  <c r="G83" i="12"/>
  <c r="M83" i="12" s="1"/>
  <c r="O83" i="12"/>
  <c r="K83" i="12"/>
  <c r="I83" i="12"/>
  <c r="O89" i="12"/>
  <c r="K9" i="12"/>
  <c r="M74" i="12"/>
  <c r="M118" i="12"/>
  <c r="M9" i="12" l="1"/>
  <c r="A64" i="12"/>
  <c r="A67" i="12" s="1"/>
  <c r="A71" i="12" s="1"/>
  <c r="A74" i="12" s="1"/>
  <c r="G212" i="12"/>
  <c r="M212" i="12" s="1"/>
  <c r="Q212" i="12"/>
  <c r="Q203" i="12" s="1"/>
  <c r="G204" i="12"/>
  <c r="M204" i="12" s="1"/>
  <c r="G73" i="12"/>
  <c r="I90" i="1" s="1"/>
  <c r="I71" i="12"/>
  <c r="I8" i="12" s="1"/>
  <c r="K212" i="12"/>
  <c r="Q226" i="12"/>
  <c r="K217" i="12"/>
  <c r="I204" i="12"/>
  <c r="I203" i="12" s="1"/>
  <c r="O212" i="12"/>
  <c r="I226" i="12"/>
  <c r="G226" i="12"/>
  <c r="M226" i="12" s="1"/>
  <c r="K226" i="12"/>
  <c r="Q71" i="12"/>
  <c r="Q8" i="12" s="1"/>
  <c r="O204" i="12"/>
  <c r="G71" i="12"/>
  <c r="M71" i="12" s="1"/>
  <c r="M8" i="12" s="1"/>
  <c r="K71" i="12"/>
  <c r="K8" i="12" s="1"/>
  <c r="K204" i="12"/>
  <c r="O8" i="12"/>
  <c r="K73" i="12"/>
  <c r="Q73" i="12"/>
  <c r="I73" i="12"/>
  <c r="O73" i="12"/>
  <c r="G8" i="12" l="1"/>
  <c r="A77" i="12"/>
  <c r="A80" i="12" s="1"/>
  <c r="A83" i="12" s="1"/>
  <c r="O217" i="12"/>
  <c r="O216" i="12" s="1"/>
  <c r="K203" i="12"/>
  <c r="K216" i="12"/>
  <c r="G203" i="12"/>
  <c r="I94" i="1" s="1"/>
  <c r="M203" i="12"/>
  <c r="O203" i="12"/>
  <c r="I217" i="12"/>
  <c r="I216" i="12" s="1"/>
  <c r="G217" i="12"/>
  <c r="Q217" i="12"/>
  <c r="Q216" i="12" s="1"/>
  <c r="M73" i="12"/>
  <c r="G216" i="12" l="1"/>
  <c r="I95" i="1" s="1"/>
  <c r="A86" i="12"/>
  <c r="A89" i="12" s="1"/>
  <c r="M217" i="12"/>
  <c r="M216" i="12" s="1"/>
  <c r="A92" i="12" l="1"/>
  <c r="A96" i="12" s="1"/>
  <c r="A98" i="12" s="1"/>
  <c r="A100" i="12" s="1"/>
  <c r="A104" i="12" s="1"/>
  <c r="A106" i="12" s="1"/>
  <c r="A108" i="12" s="1"/>
  <c r="A112" i="12" s="1"/>
  <c r="A114" i="12" s="1"/>
  <c r="A119" i="12" s="1"/>
  <c r="G259" i="12"/>
  <c r="A121" i="12" l="1"/>
  <c r="A123" i="12" s="1"/>
  <c r="A125" i="12" s="1"/>
  <c r="A127" i="12" s="1"/>
  <c r="A129" i="12" s="1"/>
  <c r="A131" i="12" s="1"/>
  <c r="A133" i="12" s="1"/>
  <c r="A135" i="12" s="1"/>
  <c r="A137" i="12" s="1"/>
  <c r="A139" i="12" s="1"/>
  <c r="A142" i="12" l="1"/>
  <c r="A144" i="12" s="1"/>
  <c r="A146" i="12" s="1"/>
  <c r="A148" i="12" s="1"/>
  <c r="A150" i="12" s="1"/>
  <c r="A152" i="12" s="1"/>
  <c r="A154" i="12" s="1"/>
  <c r="A156" i="12" s="1"/>
  <c r="A158" i="12" s="1"/>
  <c r="A160" i="12" l="1"/>
  <c r="A164" i="12" s="1"/>
  <c r="A166" i="12" s="1"/>
  <c r="A168" i="12" s="1"/>
  <c r="A172" i="12" s="1"/>
  <c r="A174" i="12" s="1"/>
  <c r="A176" i="12" s="1"/>
  <c r="A183" i="12" s="1"/>
  <c r="A185" i="12" s="1"/>
  <c r="A188" i="12" s="1"/>
  <c r="A191" i="12" s="1"/>
  <c r="A193" i="12" s="1"/>
  <c r="A197" i="12" s="1"/>
  <c r="J29" i="1"/>
  <c r="A201" i="12" l="1"/>
  <c r="A204" i="12" s="1"/>
  <c r="V28" i="12"/>
  <c r="V59" i="12"/>
  <c r="F45" i="1"/>
  <c r="H46" i="1"/>
  <c r="A208" i="12" l="1"/>
  <c r="A212" i="12" s="1"/>
  <c r="A217" i="12" s="1"/>
  <c r="A220" i="12" s="1"/>
  <c r="A223" i="12" s="1"/>
  <c r="V72" i="12"/>
  <c r="G45" i="1"/>
  <c r="I45" i="1" s="1"/>
  <c r="F42" i="1"/>
  <c r="F44" i="1"/>
  <c r="J31" i="1"/>
  <c r="J28" i="1"/>
  <c r="G41" i="1"/>
  <c r="F41" i="1"/>
  <c r="J25" i="1"/>
  <c r="J26" i="1"/>
  <c r="J27" i="1"/>
  <c r="J30" i="1"/>
  <c r="E26" i="1"/>
  <c r="E28" i="1"/>
  <c r="A226" i="12" l="1"/>
  <c r="A229" i="12" s="1"/>
  <c r="A233" i="12" s="1"/>
  <c r="A236" i="12" s="1"/>
  <c r="A239" i="12" s="1"/>
  <c r="A242" i="12" s="1"/>
  <c r="A246" i="12" s="1"/>
  <c r="I89" i="1"/>
  <c r="V8" i="12"/>
  <c r="G42" i="1"/>
  <c r="G46" i="1" s="1"/>
  <c r="G44" i="1"/>
  <c r="I44" i="1" s="1"/>
  <c r="F46" i="1"/>
  <c r="A249" i="12" l="1"/>
  <c r="A252" i="12" s="1"/>
  <c r="A255" i="12" s="1"/>
  <c r="I98" i="1"/>
  <c r="I52" i="1" s="1"/>
  <c r="I54" i="1" s="1"/>
  <c r="I42" i="1"/>
  <c r="I46" i="1" s="1"/>
  <c r="J45" i="1" s="1"/>
  <c r="J93" i="1" l="1"/>
  <c r="J94" i="1"/>
  <c r="J90" i="1"/>
  <c r="J89" i="1"/>
  <c r="J92" i="1"/>
  <c r="J95" i="1"/>
  <c r="J97" i="1"/>
  <c r="J91" i="1"/>
  <c r="J96" i="1"/>
  <c r="J44" i="1"/>
  <c r="J42" i="1"/>
  <c r="J46" i="1" s="1"/>
  <c r="J98" i="1" l="1"/>
  <c r="J51" i="1" l="1"/>
  <c r="I18" i="1"/>
  <c r="I23" i="1"/>
  <c r="J52" i="1"/>
  <c r="J50" i="1"/>
  <c r="J54" i="1" l="1"/>
  <c r="G27" i="1"/>
  <c r="G32" i="1" l="1"/>
  <c r="G31" i="1"/>
  <c r="G29" i="1"/>
  <c r="A30" i="1"/>
  <c r="A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3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3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4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4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5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5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TSC</author>
  </authors>
  <commentList>
    <comment ref="S6" authorId="0" shapeId="0" xr:uid="{85C68D2E-4902-429D-BD70-D3CE6F6318E6}">
      <text>
        <r>
          <rPr>
            <sz val="8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1A16C3-1AB8-4826-ACA9-4B3A288B03A7}">
      <text>
        <r>
          <rPr>
            <sz val="8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TSC</author>
  </authors>
  <commentList>
    <comment ref="S6" authorId="0" shapeId="0" xr:uid="{DC76DFAD-D338-4DB3-A564-9EDDFD31D071}">
      <text>
        <r>
          <rPr>
            <sz val="8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2B354A5-9D91-4F3A-AE32-A8E310513AB7}">
      <text>
        <r>
          <rPr>
            <sz val="8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TSC</author>
  </authors>
  <commentList>
    <comment ref="S6" authorId="0" shapeId="0" xr:uid="{00000000-0006-0000-0300-000001000000}">
      <text>
        <r>
          <rPr>
            <sz val="8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0000000-0006-0000-0300-000002000000}">
      <text>
        <r>
          <rPr>
            <sz val="8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<sst xmlns="http://schemas.openxmlformats.org/spreadsheetml/2006/main" count="2194" uniqueCount="467">
  <si>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</si>
  <si>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</si>
  <si>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</si>
  <si>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</si>
  <si>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</si>
  <si>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</si>
  <si>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</si>
  <si>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</si>
  <si>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</si>
  <si>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</si>
  <si>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</si>
  <si>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</si>
  <si>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</si>
  <si>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</si>
  <si>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</si>
  <si>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</si>
  <si>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</si>
  <si>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</si>
  <si>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</si>
  <si>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</si>
  <si>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</si>
  <si>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</si>
  <si>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</si>
  <si>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</si>
  <si>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</si>
  <si>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</si>
  <si>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</si>
  <si>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</si>
  <si>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</si>
  <si>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</si>
  <si>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</si>
  <si>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</si>
  <si>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</si>
  <si>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</si>
  <si>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</si>
  <si>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</si>
  <si>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</si>
  <si>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</si>
  <si>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</si>
  <si>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</si>
  <si>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</si>
  <si>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01285</t>
  </si>
  <si>
    <t>Rekonstrukce chodníků v ulici V Podlískách v obci Braškov</t>
  </si>
  <si>
    <t>SO 01</t>
  </si>
  <si>
    <t>Chodník</t>
  </si>
  <si>
    <t>Rozpočet:</t>
  </si>
  <si>
    <t>Stavba</t>
  </si>
  <si>
    <t>Stavební objekt</t>
  </si>
  <si>
    <t>Celkem za stavbu</t>
  </si>
  <si>
    <t>CZK</t>
  </si>
  <si>
    <t>Typ dílu</t>
  </si>
  <si>
    <t>1</t>
  </si>
  <si>
    <t>Zemní práce</t>
  </si>
  <si>
    <t>5</t>
  </si>
  <si>
    <t>Komunikace</t>
  </si>
  <si>
    <t>91</t>
  </si>
  <si>
    <t>Doplňující práce na komunikaci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</si>
  <si>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</si>
  <si>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</si>
  <si>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</si>
  <si>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</si>
  <si>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</si>
  <si>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</si>
  <si>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</si>
  <si>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</si>
  <si>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</si>
  <si>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</si>
  <si>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</si>
  <si>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</si>
  <si>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</si>
  <si>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</si>
  <si>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</si>
  <si>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</si>
  <si>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</si>
  <si>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</si>
  <si>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</si>
  <si>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</si>
  <si>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</si>
  <si>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</si>
  <si>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</si>
  <si>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</si>
  <si>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</si>
  <si>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</si>
  <si>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</si>
  <si>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</si>
  <si>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</si>
  <si>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</si>
  <si>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</si>
  <si>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</si>
  <si>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</si>
  <si>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SPU</t>
  </si>
  <si>
    <t>kus</t>
  </si>
  <si>
    <t>m2</t>
  </si>
  <si>
    <t xml:space="preserve">Geodetické práce </t>
  </si>
  <si>
    <t>Soubor</t>
  </si>
  <si>
    <t>Indiv</t>
  </si>
  <si>
    <t>00523  R</t>
  </si>
  <si>
    <t>Zkoušky a revize</t>
  </si>
  <si>
    <t>822-1</t>
  </si>
  <si>
    <t>Práce</t>
  </si>
  <si>
    <t>POL1_</t>
  </si>
  <si>
    <t>SPI</t>
  </si>
  <si>
    <t>m</t>
  </si>
  <si>
    <t>800-1</t>
  </si>
  <si>
    <t>m3</t>
  </si>
  <si>
    <t>823-1</t>
  </si>
  <si>
    <t>t</t>
  </si>
  <si>
    <t>včetně spotřeby vody</t>
  </si>
  <si>
    <t>005211030R</t>
  </si>
  <si>
    <t xml:space="preserve">Dočasná dopravní opatření </t>
  </si>
  <si>
    <t>005241010R</t>
  </si>
  <si>
    <t>005281010R</t>
  </si>
  <si>
    <t>Propagace</t>
  </si>
  <si>
    <t>END</t>
  </si>
  <si>
    <t>005131 R</t>
  </si>
  <si>
    <t>005121029 R</t>
  </si>
  <si>
    <t xml:space="preserve">             Artendr s.r.o.</t>
  </si>
  <si>
    <t>Zadavatel:</t>
  </si>
  <si>
    <t>Celkem bez DPH</t>
  </si>
  <si>
    <t>Základní DPH</t>
  </si>
  <si>
    <t>95</t>
  </si>
  <si>
    <t>Dokončovací konstrukce na pozemních stavbách</t>
  </si>
  <si>
    <t>Úprava pláně v zářezech v hornině 1 až 4, se zhutněním</t>
  </si>
  <si>
    <t>Rekapitulace objektů</t>
  </si>
  <si>
    <t>Cena celkem bez DPH</t>
  </si>
  <si>
    <t>s přemístěním hmot na skládku na vzdálenost do 3 m nebo s naložením na dopravní prostředek,</t>
  </si>
  <si>
    <t>s vybouráním patek a lože, s přemístěním hmot na skládku na vzdálenost do 3 m nebo naložením na dopravní prostředek,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</si>
  <si>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</si>
  <si>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>po suchu, bez naložení výkopku, avšak se složením bez rozhrnutí, zpáteční cesta vozidla.</t>
  </si>
  <si>
    <t>Založení trávníku parkový trávník, výsevem v rovině, vč. travního semene</t>
  </si>
  <si>
    <t>na půdě předem připravené s pokosením, naložením, odvozem odpadu do 20 km a se složením,</t>
  </si>
  <si>
    <t>823-2</t>
  </si>
  <si>
    <t>Podklad ze štěrkodrti s rozprostřením a zhutněním (frakce 0-32 mm), tloušťka po zhutnění 150 mm</t>
  </si>
  <si>
    <t>s provedením lože z kameniva drceného, s vyplněním spár, s dvojitým hutněním a se smetením přebytečného materiálu na krajnici. S dodáním hmot pro lože a výplň spár.</t>
  </si>
  <si>
    <t>SPCM</t>
  </si>
  <si>
    <t>S dodáním hmot pro lože a opěry</t>
  </si>
  <si>
    <t>919735112R00</t>
  </si>
  <si>
    <t>Řezání stávajících krytů nebo podkladů živičných, hloubky přes 50 do 100 mm</t>
  </si>
  <si>
    <t>954431111R00</t>
  </si>
  <si>
    <t xml:space="preserve">Výšková úprava uličního vstupu, vpustě nebo šoupěte do 20 cm </t>
  </si>
  <si>
    <t>odbouráním dosavadního krytu, podkladu, nadezdívky nebo prstence s odklizením vybouraných hmot do 3 m, zarovnání plochy nadezdívky cementovou maltou, podbetonování nebo podezdění rámu, odstranění a znovuosazení rámu, poklopu, mříže, krycího hrnce nebo hydrantu, úpravy a doplnění krytu popř. podkladu vozovky v místě provedené výškové úpravy,</t>
  </si>
  <si>
    <t>96</t>
  </si>
  <si>
    <t>Bourání konstrukcí</t>
  </si>
  <si>
    <t>961041331R00</t>
  </si>
  <si>
    <t>99</t>
  </si>
  <si>
    <t>Staveništní přesun hmot</t>
  </si>
  <si>
    <t>998200011R00</t>
  </si>
  <si>
    <t>Přesun hmot pozemních komunikací, kryt dlážděný jakékoliv délky objektu</t>
  </si>
  <si>
    <t>998222011R00</t>
  </si>
  <si>
    <t>Přesun hmot pozemních komunikací, kryt z kameniva jakékoliv délky objektu</t>
  </si>
  <si>
    <t>801-3</t>
  </si>
  <si>
    <t>Zařízení staveniště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</si>
  <si>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</si>
  <si>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</si>
  <si>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</si>
  <si>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Náklady zhotovitele, související s prováděním zkoušek a revizí předepsaných technickými normami nebo objednatelem a které jsou pro provedení díla nezbytné.</t>
  </si>
  <si>
    <t>Náklady na vyhotovení návrhu dočasného dopravního značení, jeho projednání s dotčenými orgány a organizacemi, dodání dopravních značek i případné světelné signalizace, jejich rozmístění a přemísťování a jejich údržba v průběhu výstavby včetně následného odstranění po ukončení stavebních prací.</t>
  </si>
  <si>
    <t>Náklady spojené s povinnou publicitou. Zahrnuje zejména náklady na propagační a informační billboardy, tabule, internetovou propagaci, tiskoviny apod.</t>
  </si>
  <si>
    <t>Podklad ze štěrkodrti s rozprostřením a zhutněním (frakce 0-63 mm), tloušťka po zhutnění 200 mm</t>
  </si>
  <si>
    <t>Bourací práce</t>
  </si>
  <si>
    <t>Stavenišní přesun hmot</t>
  </si>
  <si>
    <t>RTS 24/II</t>
  </si>
  <si>
    <t>kompletní dodávka a montáž UV vč.mříže D400, napojení do kanalizačního řádu 3m</t>
  </si>
  <si>
    <t>113107523R00</t>
  </si>
  <si>
    <t>Odstranění podkladů nebo krytů z kameniva hrubého drceného, v ploše jednotlivě nad 15 m2, tloušťka vrstvy do 300 mm</t>
  </si>
  <si>
    <t>Odstranění podkladů nebo krytů z betonu prostého, v ploše jednotlivě nad 15 m2, tloušťka vrstvy do 150 mm</t>
  </si>
  <si>
    <t>113107531R00</t>
  </si>
  <si>
    <r>
      <t xml:space="preserve">Odstranění podkladů nebo krytů živičných, v ploše jednotlivě nad 15 m2, tloušťka vrstvy do </t>
    </r>
    <r>
      <rPr>
        <sz val="8"/>
        <color theme="1"/>
        <rFont val="Arial CE"/>
        <charset val="238"/>
      </rPr>
      <t>100</t>
    </r>
    <r>
      <rPr>
        <sz val="8"/>
        <rFont val="Arial CE"/>
        <charset val="238"/>
      </rPr>
      <t xml:space="preserve"> mm</t>
    </r>
  </si>
  <si>
    <t>113107542R00</t>
  </si>
  <si>
    <t>s přemístěním vybourané dlažby vč. materiálu z lože a spár na vzdálenost do 3 m nebo s naložením na dopravní prostředek,</t>
  </si>
  <si>
    <t>25+40+25,2+8+2,25 (vjezdy, chodníky)</t>
  </si>
  <si>
    <t>15*1,2 (vjezd, chodník)</t>
  </si>
  <si>
    <t>600+110+8+190+65 (vjezdy, chodníky, komunikace)</t>
  </si>
  <si>
    <t>Rozebrání dlažeb komunikací a ploch s ložem z kameniva s výplní spár (ručně)</t>
  </si>
  <si>
    <t>113106171R00</t>
  </si>
  <si>
    <t>Vytrhání obrub z krajníků nebo obrubníků stojatých s vybouráním lože</t>
  </si>
  <si>
    <t>113202111R00</t>
  </si>
  <si>
    <t>21+22+8+11+39+6+7+7</t>
  </si>
  <si>
    <t xml:space="preserve">(600+190) = 50% sanace aktivní zóny </t>
  </si>
  <si>
    <t xml:space="preserve">(600+190)*0,35 = 50% sanace aktivní zóny </t>
  </si>
  <si>
    <t>Hloubení nezapažených jam a zářezů s urovnáním dna do předepsaného tvaru  v hornině 3, strojně, s ručním dočištěním, jednotlivě do 100m3</t>
  </si>
  <si>
    <t>131251203R00</t>
  </si>
  <si>
    <t>Hloubení nezapažených jam ručně s urovnáním dna do předepsaného tvaru, v hornině 3</t>
  </si>
  <si>
    <t>131213702R00</t>
  </si>
  <si>
    <t>Hloubení nezapažených rýh šířky do 800mm ručně s urovnáním dna do předepsaného tvaru, v hornině 3</t>
  </si>
  <si>
    <t xml:space="preserve">(0,8*0,8*1)*5 uliční vpusť </t>
  </si>
  <si>
    <t>132212132R00</t>
  </si>
  <si>
    <t xml:space="preserve">Zásyp sypaninou z jakékoliv horniny strojně </t>
  </si>
  <si>
    <t>s uložením výkopku ve vrstvách se zhutněním</t>
  </si>
  <si>
    <t>174151101R00</t>
  </si>
  <si>
    <t>8*0,5*1 (zásyp rýh pro odkanalizování uličních vpustí a pro štěrbinový žlab)</t>
  </si>
  <si>
    <t>8*0,5*1,5+12*0,5*0,2 (výkop pro odkanalizování uličních vpustí a pro štěrbinový žlab)</t>
  </si>
  <si>
    <t>Vodorovné přemístění výkopku z horniny 3, na vzdálenost do 10 000 m</t>
  </si>
  <si>
    <t>162751117R00</t>
  </si>
  <si>
    <t>Příplatek k ceně za vodorovné přemístění výkopku z horniny 3, na vzdálenost do 10 000 m</t>
  </si>
  <si>
    <t>3,2+7,2-4 (jámy, rýhy)</t>
  </si>
  <si>
    <t>144,65*10 (celkem doprava 20km)</t>
  </si>
  <si>
    <t>162751119R00</t>
  </si>
  <si>
    <t>181411131R00</t>
  </si>
  <si>
    <t>181006111R00</t>
  </si>
  <si>
    <t>30*0,1</t>
  </si>
  <si>
    <t>181006-R01</t>
  </si>
  <si>
    <t>Rozprostření zemin schopných zúrodnění v rovině nebo svahu do 1:5, tloušťka do 0,1m</t>
  </si>
  <si>
    <t xml:space="preserve">Zemina vhodná k zúrodnění - nákup a doprava zeminy </t>
  </si>
  <si>
    <t>181951112R00</t>
  </si>
  <si>
    <t>vyrovnání výškových rozdílů strojně</t>
  </si>
  <si>
    <t>997013655R00</t>
  </si>
  <si>
    <t>Poplatky za uložení horniny 1- 4 na recyklační skládce, skupina 17 05 04 z Katalogu odpadů</t>
  </si>
  <si>
    <t>564751101R00</t>
  </si>
  <si>
    <t>Podklad ze štěrkodrti s rozprostřením a zhutněním (frakce 32-63 mm), tloušťka po zhutnění 150 mm</t>
  </si>
  <si>
    <t>564730101R00</t>
  </si>
  <si>
    <t>564710001R00</t>
  </si>
  <si>
    <t>564851111R00</t>
  </si>
  <si>
    <t>567123811R00</t>
  </si>
  <si>
    <t>Podklad ze směsi stmelené cementem SC C 8/10 (KSC I) s rozprostřením a zhutněním, tloušťka po zhutnění 120 mm</t>
  </si>
  <si>
    <t>Kladení dlažby z betonových zámkových dlaždic t. 60mm, tloušťka lože do 40 mm</t>
  </si>
  <si>
    <t>596211121R00</t>
  </si>
  <si>
    <t xml:space="preserve">dlažba zámková betonová tl. 60mm, přírodní </t>
  </si>
  <si>
    <t>596211-R01</t>
  </si>
  <si>
    <t>596211-R02</t>
  </si>
  <si>
    <t>dlažba zámková betonová tl. 60mm, červená, slepecká</t>
  </si>
  <si>
    <t>Kladení dlažby z betonových zámkových dlaždic t. 80mm, tloušťka lože do 40 mm</t>
  </si>
  <si>
    <t>596211220R00</t>
  </si>
  <si>
    <t>596211-R03</t>
  </si>
  <si>
    <t>596211-R04</t>
  </si>
  <si>
    <t xml:space="preserve">dlažba zámková betonová tl. 80mm, přírodní </t>
  </si>
  <si>
    <t>dlažba zámková betonová tl. 80mm, červená, slepecká</t>
  </si>
  <si>
    <t>Podklad z mechanicky zpevněného kameniva MZK s rozprostřením a zhutněním, tloušťka po zhutnění 350 mm</t>
  </si>
  <si>
    <t>564982111R00</t>
  </si>
  <si>
    <t>565156121R00</t>
  </si>
  <si>
    <t>vč. rozprostření, manipulace a zhutnění</t>
  </si>
  <si>
    <t>Asfaltový beton vrstva podkladní ACP 16 v pruhu šířky přes 3m, tl. vrstvy po zhutnění 70mm</t>
  </si>
  <si>
    <t>Asfaltový beton vrstva podkladní ACO 11+ v pruhu šířky přes 3m, tl. vrstvy po zhutnění 40mm</t>
  </si>
  <si>
    <t>577134141R00</t>
  </si>
  <si>
    <t>Kryt pozemních komunikací, postřik spojovací bez posypu ze silniční rmulze v množství 0,30kg/m2</t>
  </si>
  <si>
    <t>573231106R00</t>
  </si>
  <si>
    <t xml:space="preserve">s provedením lože z kameniva drceného, s vyplněním spár, s dvojitým hutněním a se smetením přebytečného materiálu na krajnici. S dodáním hmot pro lože a výplň spár. </t>
  </si>
  <si>
    <t>110 (nový chodník) + 3m2 (stávající chodník - napojení)</t>
  </si>
  <si>
    <t>190+65+8 (stání, vjezdy) + 8m2 (stávající plochy - napojení)</t>
  </si>
  <si>
    <t>110+65+8 (vjezdy, chodníky)</t>
  </si>
  <si>
    <t>190 (stání)</t>
  </si>
  <si>
    <t>110+65+8+190 (vjezdy, chodníky, stání)</t>
  </si>
  <si>
    <t>600*2 vrstvy</t>
  </si>
  <si>
    <t>914111111R00</t>
  </si>
  <si>
    <t>Montáž svislých dopravních značek, na sloupky nebo konzoly</t>
  </si>
  <si>
    <t>Montáž sloupku dopravních značek, délky 3,5m do hliníkové patky</t>
  </si>
  <si>
    <t>899133211R00</t>
  </si>
  <si>
    <t>Výměna a výšková úprava vtokové mříže uliční vpusti na betonové skruži s použitím vyrovnávacích prstenců.</t>
  </si>
  <si>
    <t>895941-R01</t>
  </si>
  <si>
    <t>895941351R00</t>
  </si>
  <si>
    <t>Osazení vpusti uliční z betonových dílců DN500 skruž horní</t>
  </si>
  <si>
    <t>895941-R02</t>
  </si>
  <si>
    <t>895941361R00</t>
  </si>
  <si>
    <t>895941-R03</t>
  </si>
  <si>
    <t>Osazení vpusti uliční z betonových dílců DN500 skruž středová</t>
  </si>
  <si>
    <t>Uliční vpusť - skruž středová 290mm, DN500</t>
  </si>
  <si>
    <t>Uliční vpusť - skruž horní pro čtvercovou mříž, DN500</t>
  </si>
  <si>
    <t>Uliční vpusť - dno s kalištěm</t>
  </si>
  <si>
    <t>Osazení vpusti uliční z betonových dílců DN500 dno skalištěm</t>
  </si>
  <si>
    <t>895941342R00</t>
  </si>
  <si>
    <t>Osazení vpusti uliční z betonových dílců DN500 skruž brůběžná s výtokem</t>
  </si>
  <si>
    <t>Uliční vpusť - skruž průběžná s výtokem, DN500</t>
  </si>
  <si>
    <t>895941362R00</t>
  </si>
  <si>
    <t>721140917R00</t>
  </si>
  <si>
    <t>Propojení dosavadního potrubí DN 150</t>
  </si>
  <si>
    <t>Obetonování potrubí nebo šachet betonem prostým v otevřeném výkopu betonem C16/20</t>
  </si>
  <si>
    <t>899623151R00</t>
  </si>
  <si>
    <t>Zhotovení dopojení uličních vpustí z trub PVC hrdlových KG DN 150 SN8, vč. dodávky potrubí, kolen</t>
  </si>
  <si>
    <t>899623704R00</t>
  </si>
  <si>
    <t>935114222R00</t>
  </si>
  <si>
    <t>Osazení štěrbinového žlabu - vpusťový komplet</t>
  </si>
  <si>
    <t>935114223R00</t>
  </si>
  <si>
    <t>935114-R01</t>
  </si>
  <si>
    <t>935114-R02</t>
  </si>
  <si>
    <t>Osazení štěrbinového žlabu - záslepka</t>
  </si>
  <si>
    <t>935114225R00</t>
  </si>
  <si>
    <t>Záslepka ke štěrbinovému žlabu 400x500mm</t>
  </si>
  <si>
    <t>Vpusťový komplet ke štěrbinovému žlabu 400x500mm s odtokem DN150</t>
  </si>
  <si>
    <t>935114-R03</t>
  </si>
  <si>
    <t xml:space="preserve">Žlab štěrbinový betonový s roštem 400x500x2000mm se spádem dna 0,5% </t>
  </si>
  <si>
    <t>Osazení štěrbinového žlabu se spádem dna 0,5% do lože z betonu vč. stabilizačního klínu</t>
  </si>
  <si>
    <t xml:space="preserve">Osazení silničního obrubníku betonového s boční opěrou do lože z betonu prostého </t>
  </si>
  <si>
    <t>916131-R01</t>
  </si>
  <si>
    <t>916131213R00</t>
  </si>
  <si>
    <t>obrubník betonový silniční l = 1000 mm; š = 150 mm; h = 250 mm</t>
  </si>
  <si>
    <t>obrubník betonový silniční přechodový L a P, l = 1000 mm; š = 150 mm; h = 150-250 mm</t>
  </si>
  <si>
    <t>916231213R00</t>
  </si>
  <si>
    <t xml:space="preserve">Osazení chodníkového obrubníku betonového s boční opěrou do lože z betonu prostého </t>
  </si>
  <si>
    <t>obrubník betonový chodníkový l = 1000 mm; š = 80 mm; h = 250 mm</t>
  </si>
  <si>
    <t>obrubník betonový silniční nájezdový l = 1000 mm; š = 150 mm; h = 150 mm</t>
  </si>
  <si>
    <t>916231-R01</t>
  </si>
  <si>
    <t>916131-R02</t>
  </si>
  <si>
    <t>916131-R03</t>
  </si>
  <si>
    <t>120+135</t>
  </si>
  <si>
    <t>Vytvoření komůrky pro těsnící zálivku šířky do 10mm, hloubky do 15mm</t>
  </si>
  <si>
    <t>919112211R00</t>
  </si>
  <si>
    <t>919122111R00</t>
  </si>
  <si>
    <t>Utěsnění dilatačních spár zálivkou za tepla pro komůrky šířky do 10mm</t>
  </si>
  <si>
    <t>109*2+5,5+13</t>
  </si>
  <si>
    <t>Izolace proti vodě a vlhkosti z nopové folie na svislé ploše s přikotvením</t>
  </si>
  <si>
    <t>200*0,5</t>
  </si>
  <si>
    <t>711161215R00</t>
  </si>
  <si>
    <t>vybourání stávající uliční vpusti hl. do 1,2m, do suti</t>
  </si>
  <si>
    <t xml:space="preserve">Celková vzdálenost je závislá na možnostech zhotovitele a skladových podmínkách na stavbě či staveništi. Zhotovitel je povinen si tyto podmínky zjistit a řádně ocenit tak, aby doprava materiálu na místo určení zahrnovala veškeré náklady s tím spojené. </t>
  </si>
  <si>
    <t>Přesun hmot pozemních komunikací, kryt betonový nebo živičný jakékoliv délky objektu</t>
  </si>
  <si>
    <t>998222017R00</t>
  </si>
  <si>
    <t>175111101R00</t>
  </si>
  <si>
    <t>Obsypání potrubí bez prohození sypaniny</t>
  </si>
  <si>
    <t>7,2-4</t>
  </si>
  <si>
    <t>175111-R01</t>
  </si>
  <si>
    <t>3,2*1,6</t>
  </si>
  <si>
    <t>Písek tříděný pro lože a obsyp potrubí 0/6 (kanal.potrubí - dopojení uličních vpustí a žlabu)</t>
  </si>
  <si>
    <t>zámková dlažba, obruby, štěrbinový žlab, uliční vpusť</t>
  </si>
  <si>
    <t>štěrkodrť, MZK, písek</t>
  </si>
  <si>
    <t>KSC, živice, betony</t>
  </si>
  <si>
    <t>Poplatek za skládku - asfalty (určeno k recyklaci) odpad pod kódem 17 03 02</t>
  </si>
  <si>
    <t>Poplatek za skládku - betony (určeno k recyklaci) odpad pod kódem 17 01 01</t>
  </si>
  <si>
    <t>Poplatek za skládku - kamenivo a zeminy (určeno k recyklaci) odpad pod kódem 17 05 04</t>
  </si>
  <si>
    <t>997221861R00</t>
  </si>
  <si>
    <t>997221875R00</t>
  </si>
  <si>
    <t>997221873R00</t>
  </si>
  <si>
    <t>973*0,3</t>
  </si>
  <si>
    <t>5*0,6*0,6*1,2*2+121*0,3*0,3*2,5+18*0,15*2,5+100,45*0,08*2,5</t>
  </si>
  <si>
    <t>600*0,1*2,53</t>
  </si>
  <si>
    <t>Podklad ze štěrkodrti s rozprostřením a zhutněním (frakce 16-32 mm), tloušťka po zhutnění 100 mm</t>
  </si>
  <si>
    <t>Podklad ze štěrkodrti s rozprostřením a zhutněním (frakce 8-16 mm), tloušťka po zhutnění 50 mm</t>
  </si>
  <si>
    <t>58,385+583,8+151,8</t>
  </si>
  <si>
    <t>997221571R00</t>
  </si>
  <si>
    <t>Vodorovná doprava vybouraných hmot po suchu bez naložení, ale se složením na vzdálenost do 1km</t>
  </si>
  <si>
    <t>Příplatek k ceně za vodorovnou dopravu vybouraných hmot za každých dalších započatý 1 km nad 1km</t>
  </si>
  <si>
    <t>997221579R00</t>
  </si>
  <si>
    <t>793,985*19</t>
  </si>
  <si>
    <t>Kompletní náklady na zařízení a zabezpečení staveniště vč, nákladů za zábor.</t>
  </si>
  <si>
    <t>Veškeré geodetické práce potřebné před realizací, v průběhu realizace a po jejím dokončení.</t>
  </si>
  <si>
    <t>Náklady na vyhotovení předávací dokumentace vč. dokumentace skutečného provedení stavby a její předání objednateli v požadované formě a požadovaném počtu.</t>
  </si>
  <si>
    <t xml:space="preserve">Dokumentace předávací </t>
  </si>
  <si>
    <t>Provozní vlivy</t>
  </si>
  <si>
    <t>Náklady na zajištění provizorních opatření, které bude nutné učinit pro zajištění provozuschopnosti všech ostatních nemovitostí a podnikajících subjektů v dotčené části stavby a staveniště po dobu realizace díla dle SOD. Dále náklady spojené s odvozem a likvidací domovního odpadu - zajištění přesunu odpadních nádob na místo určené pro vývoz a zpět. Zajištění bezpečného průchodu stavbou po dobu realizace třetím osobám.</t>
  </si>
  <si>
    <t>2024027</t>
  </si>
  <si>
    <t>SO 103</t>
  </si>
  <si>
    <t>Rekonstrukce komunikací a chodníků v Rudné</t>
  </si>
  <si>
    <t>Rudná - rekonstrukce komunikací a chodníků</t>
  </si>
  <si>
    <t>ulice Poštovní</t>
  </si>
  <si>
    <t>895941-R04</t>
  </si>
  <si>
    <t>Rekapitulace dílů - SO 103 - ulice Poštovní</t>
  </si>
  <si>
    <t>SO 103 - ulice Poštovní</t>
  </si>
  <si>
    <t>SO 102 - ulice Nádražní</t>
  </si>
  <si>
    <t>SO 101 - ulice Riegrova</t>
  </si>
  <si>
    <t>Rekapitulace dílů - SO 101 - ulice Riegrova</t>
  </si>
  <si>
    <t>Rekapitulace dílů - SO 102 - ulice Nádražní</t>
  </si>
  <si>
    <t>SO 101</t>
  </si>
  <si>
    <t>ulice Nádražní</t>
  </si>
  <si>
    <t>ulice Riegrova</t>
  </si>
  <si>
    <t xml:space="preserve">   Objekty:</t>
  </si>
  <si>
    <t>SO 102</t>
  </si>
  <si>
    <t>město Rudná</t>
  </si>
  <si>
    <t>Masarykova 94/53</t>
  </si>
  <si>
    <t>252 19</t>
  </si>
  <si>
    <t>Rudná</t>
  </si>
  <si>
    <t>00233773</t>
  </si>
  <si>
    <t>4,5+1,5+7+50+14,5 (vjezdy, chodníky)</t>
  </si>
  <si>
    <t>776+300+20+20+170+90 (vjezdy, chodníky, komunikace)</t>
  </si>
  <si>
    <t>8*2+12*2+1,2*1,6 (vjezd, chodník)</t>
  </si>
  <si>
    <t>776+45</t>
  </si>
  <si>
    <t>14+4+4+27+13</t>
  </si>
  <si>
    <t xml:space="preserve">(0,8*0,8*1)*9 uliční vpusť </t>
  </si>
  <si>
    <t>(120+90+68)*0,41 (chodník, vjezdy, stání)</t>
  </si>
  <si>
    <t xml:space="preserve">(776+170+20)*0,35 = 50% sanace aktivní zóny </t>
  </si>
  <si>
    <t>15*0,5*1,5 (výkop pro odkanalizování uličních vpustí)</t>
  </si>
  <si>
    <t>15*0,5*1 (zásyp rýh pro odkanalizování uličních vpustí a pro štěrbinový žlab)</t>
  </si>
  <si>
    <t>5,76+11,25-7,5 (jámy, rýhy)</t>
  </si>
  <si>
    <t>292,54*10 (celkem doprava 20km)</t>
  </si>
  <si>
    <t>11,25-7,5</t>
  </si>
  <si>
    <t>3,75*1,6</t>
  </si>
  <si>
    <t>50*0,1</t>
  </si>
  <si>
    <t>170 (stání)</t>
  </si>
  <si>
    <t>90+300+20+170 (vjezdy, chodníky, stání)</t>
  </si>
  <si>
    <t>776*2 vrstvy</t>
  </si>
  <si>
    <t xml:space="preserve">(776+170+20) = 50% sanace aktivní zóny </t>
  </si>
  <si>
    <t>90+300+20 (vjezdy, chodníky)</t>
  </si>
  <si>
    <t>300 (nový chodník) + 6m2 (stávající chodník - napojení)</t>
  </si>
  <si>
    <t>340+160</t>
  </si>
  <si>
    <t>130*0,5</t>
  </si>
  <si>
    <t>144*2+13*2</t>
  </si>
  <si>
    <t>zámková dlažba, obruby, uliční vpusť</t>
  </si>
  <si>
    <t>4*0,6*0,6*1,2*2+62*0,3*0,3*2,5+41,92*0,15*2,5+77,5*0,08*2,5</t>
  </si>
  <si>
    <t>1376*0,3</t>
  </si>
  <si>
    <t>821*0,1*2,53</t>
  </si>
  <si>
    <t>48,626+825,6+207,713</t>
  </si>
  <si>
    <t>Kladení dlažby včetně spárování z kostek kamenných do lože z cementové malty</t>
  </si>
  <si>
    <t>591241111R00</t>
  </si>
  <si>
    <t>20 (zpomalovací práh)</t>
  </si>
  <si>
    <t>Kostka štípaná dlažební žula drobná 8/10</t>
  </si>
  <si>
    <t>591241-R01</t>
  </si>
  <si>
    <t>s dvojitým beraněním a se smetením přebytečného materiálu na krajnici. S dodáním hmot pro lože tl.50mm a výplň spár.</t>
  </si>
  <si>
    <t>567123814R00</t>
  </si>
  <si>
    <t>Podklad ze směsi stmelené cementem SC C 8/10 (KSC I) s rozprostřením a zhutněním, tloušťka po zhutnění 150 mm</t>
  </si>
  <si>
    <t>564861011R00</t>
  </si>
  <si>
    <t>935113111R00</t>
  </si>
  <si>
    <t>6x1,2m</t>
  </si>
  <si>
    <t>žlab odvodňovací s roštem šířky 100mm</t>
  </si>
  <si>
    <t>žlab odvodňovací - čílko žlabu</t>
  </si>
  <si>
    <t>935113-R01</t>
  </si>
  <si>
    <t>935113-R02</t>
  </si>
  <si>
    <t>Osazení odvodňovacího žlabu s krycím roštem šířky do 200mm</t>
  </si>
  <si>
    <t>Vybourání stávající uliční vpusti hl. do 1,2m, do suti</t>
  </si>
  <si>
    <t>Odstranění dopravních značek se sloupkem s betonovou patkou</t>
  </si>
  <si>
    <t>966006132R00</t>
  </si>
  <si>
    <t>s uložením hmot na vzdálenost do 20m s naložením na dopravní prostředek, se zásypem jam a jeho zhutnění</t>
  </si>
  <si>
    <t>2x P2, 2x IZ5a/b</t>
  </si>
  <si>
    <t>na vzdálenost do 3m s naložením na dopravní prostředek, se zásypem jam a jeho zhutnění</t>
  </si>
  <si>
    <t>914111-R03</t>
  </si>
  <si>
    <t>914111-R01</t>
  </si>
  <si>
    <t>914111-R02</t>
  </si>
  <si>
    <t>dopravní značka P4</t>
  </si>
  <si>
    <t xml:space="preserve">dopravní značka IZ8a/b </t>
  </si>
  <si>
    <t>914111-R04</t>
  </si>
  <si>
    <t>sloupek pro dopravní značku ZN 60mm, v 3,5m</t>
  </si>
  <si>
    <t>svorka upínací na sloupek dopravní značky D 60mm</t>
  </si>
  <si>
    <t>4+1+13*2,5+2*3+6+40+20*1,5+15*3+40*2,8+40+30*1,2+20*1,5+6+40*3+20*1,5+18+80*1,5+36,3 (vjezdy, chodníky)</t>
  </si>
  <si>
    <t>90+25*3,5+3*6+3,5*7+5+3*5+7 (vjezdy, chodníky)</t>
  </si>
  <si>
    <t>4420+288</t>
  </si>
  <si>
    <t>90+40+20+19+18,5+39+28+31+155+8</t>
  </si>
  <si>
    <t xml:space="preserve">(0,8*0,8*1)*27 uliční vpusť </t>
  </si>
  <si>
    <t>(1035+77+690-712,8)*0,41 (chodník, vjezdy)</t>
  </si>
  <si>
    <t>490-108 (parkovací pruh)</t>
  </si>
  <si>
    <t xml:space="preserve">(4420+150+490)*0,35 = 50% sanace aktivní zóny </t>
  </si>
  <si>
    <t>4420+288+150+712,8+247+690 (vjezdy, chodníky, komunikace)</t>
  </si>
  <si>
    <t>40*0,5*1,5 (výkop pro odkanalizování uličních vpustí)</t>
  </si>
  <si>
    <t>40*0,5*1 (zásyp rýh pro odkanalizování uličních vpustí a pro štěrbinový žlab)</t>
  </si>
  <si>
    <t>17,28+30-20 (jámy, rýhy)</t>
  </si>
  <si>
    <t>1515,97*10 (celkem doprava 20km)</t>
  </si>
  <si>
    <t>30-20</t>
  </si>
  <si>
    <t>10*1,6</t>
  </si>
  <si>
    <t>1250*0,1</t>
  </si>
  <si>
    <t>4420+1035+77+150+490+690 (vjezdy, chodníky, komunikace)</t>
  </si>
  <si>
    <t>490 (stání)</t>
  </si>
  <si>
    <t>1035+77+690+490 (vjezdy, chodníky, stání)</t>
  </si>
  <si>
    <t>4420*2 vrstvy</t>
  </si>
  <si>
    <t>150 (zpomalovací práh)</t>
  </si>
  <si>
    <t xml:space="preserve">(4420+490+150) = 50% sanace aktivní zóny </t>
  </si>
  <si>
    <t>1035+77+690 (vjezdy, chodníky)</t>
  </si>
  <si>
    <t>1035 (nový chodník) + 46m2 (stávající chodník - napojení)</t>
  </si>
  <si>
    <t>690+77+490 (stání, vjezdy)</t>
  </si>
  <si>
    <t>170+20+90 (stání, vjezdy)</t>
  </si>
  <si>
    <t>914111-R05</t>
  </si>
  <si>
    <t>dopravní značka B2</t>
  </si>
  <si>
    <t>dopravní značka IP4b</t>
  </si>
  <si>
    <t>1420+715</t>
  </si>
  <si>
    <t>916131-R04</t>
  </si>
  <si>
    <t>916131-R05</t>
  </si>
  <si>
    <t>obrubník betonový silniční rohový VNI-VNĚ, l = 400x400 mm; š  =  150 mm; h = 250 mm</t>
  </si>
  <si>
    <t>obrubník betonový silniční obloukový, R 0,5-2m,  l = 1000 mm; š = 150 mm; h = 250 mm</t>
  </si>
  <si>
    <t>obrubník betonový silniční obloukový, R 0,5-2m ,  l = 1000 mm; š = 150 mm; h = 250 mm</t>
  </si>
  <si>
    <t>510*0,5</t>
  </si>
  <si>
    <t>19+10+6+8+8+18+10</t>
  </si>
  <si>
    <t>19+10+6+8+8+18+10+59*2+495*2+136*2+100*2</t>
  </si>
  <si>
    <t>3x P4, 1x B2, 6x IZ8</t>
  </si>
  <si>
    <t>4708*0,1*2,53</t>
  </si>
  <si>
    <t>6519,8*0,3*2</t>
  </si>
  <si>
    <t>23*0,6*0,6*1,2*2+448,5*0,3*0,3*2,5+247*0,15*2,5+712,8*0,08*2,5</t>
  </si>
  <si>
    <t>5458,9735*19</t>
  </si>
  <si>
    <t>355,9695+3911,88+1191,124</t>
  </si>
  <si>
    <t xml:space="preserve">Posunutí stávajícího stožáru veřejného osvětlení </t>
  </si>
  <si>
    <t>1ks - křižovatka Riegrova/Nádražní</t>
  </si>
  <si>
    <t>vč. zemních a všech přípomocných prací, plošiny a manipulace</t>
  </si>
  <si>
    <t>955444703R00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</si>
</sst>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0"/>
    <numFmt numFmtId="165" formatCode="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color indexed="81"/>
      <name val="Tahoma"/>
      <family val="2"/>
      <charset val="238"/>
    </font>
    <font>
      <sz val="8"/>
      <name val="Arial CE"/>
      <charset val="238"/>
    </font>
    <font>
      <sz val="8"/>
      <color theme="1"/>
      <name val="Arial CE"/>
      <charset val="238"/>
    </font>
    <font>
      <sz val="8"/>
      <color indexed="17"/>
      <name val="Arial CE"/>
      <charset val="238"/>
    </font>
    <font>
      <sz val="8"/>
      <color rgb="FFFF0000"/>
      <name val="Arial CE"/>
      <charset val="238"/>
    </font>
    <font>
      <sz val="8"/>
      <color theme="3" tint="-0.249977111117893"/>
      <name val="Arial CE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2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4" fontId="0" fillId="0" borderId="1" xfId="0" applyNumberFormat="1" applyBorder="1"/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 shrinkToFit="1"/>
    </xf>
    <xf numFmtId="4" fontId="8" fillId="0" borderId="32" xfId="0" applyNumberFormat="1" applyFont="1" applyBorder="1" applyAlignment="1">
      <alignment vertical="center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7" fillId="0" borderId="26" xfId="0" applyFont="1" applyBorder="1" applyAlignment="1">
      <alignment vertical="center"/>
    </xf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9" fontId="0" fillId="0" borderId="1" xfId="0" applyNumberFormat="1" applyBorder="1"/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8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4" fontId="18" fillId="0" borderId="0" xfId="0" applyNumberFormat="1" applyFont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7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17" xfId="0" applyBorder="1" applyAlignment="1">
      <alignment horizontal="left" vertical="center" indent="1"/>
    </xf>
    <xf numFmtId="0" fontId="18" fillId="0" borderId="18" xfId="0" applyFont="1" applyBorder="1" applyAlignment="1">
      <alignment horizontal="center" vertical="top" shrinkToFit="1"/>
    </xf>
    <xf numFmtId="164" fontId="18" fillId="0" borderId="18" xfId="0" applyNumberFormat="1" applyFont="1" applyBorder="1" applyAlignment="1">
      <alignment vertical="top" shrinkToFit="1"/>
    </xf>
    <xf numFmtId="4" fontId="18" fillId="0" borderId="18" xfId="0" applyNumberFormat="1" applyFont="1" applyBorder="1" applyAlignment="1">
      <alignment vertical="top" shrinkToFit="1"/>
    </xf>
    <xf numFmtId="0" fontId="0" fillId="0" borderId="37" xfId="0" applyBorder="1"/>
    <xf numFmtId="0" fontId="0" fillId="0" borderId="36" xfId="0" applyBorder="1" applyAlignment="1">
      <alignment vertical="center"/>
    </xf>
    <xf numFmtId="0" fontId="0" fillId="0" borderId="41" xfId="0" applyBorder="1"/>
    <xf numFmtId="0" fontId="0" fillId="3" borderId="36" xfId="0" applyFill="1" applyBorder="1" applyAlignment="1">
      <alignment vertical="center"/>
    </xf>
    <xf numFmtId="0" fontId="0" fillId="0" borderId="26" xfId="0" applyBorder="1"/>
    <xf numFmtId="49" fontId="8" fillId="0" borderId="0" xfId="0" applyNumberFormat="1" applyFont="1" applyAlignment="1">
      <alignment horizontal="left" vertical="center"/>
    </xf>
    <xf numFmtId="4" fontId="18" fillId="0" borderId="18" xfId="0" applyNumberFormat="1" applyFont="1" applyBorder="1" applyAlignment="1" applyProtection="1">
      <alignment vertical="top" shrinkToFit="1"/>
      <protection locked="0"/>
    </xf>
    <xf numFmtId="4" fontId="18" fillId="0" borderId="39" xfId="0" applyNumberFormat="1" applyFont="1" applyBorder="1" applyAlignment="1">
      <alignment vertical="top" shrinkToFit="1"/>
    </xf>
    <xf numFmtId="4" fontId="18" fillId="0" borderId="40" xfId="0" applyNumberFormat="1" applyFont="1" applyBorder="1" applyAlignment="1">
      <alignment vertical="top" shrinkToFit="1"/>
    </xf>
    <xf numFmtId="49" fontId="8" fillId="0" borderId="35" xfId="0" applyNumberFormat="1" applyFont="1" applyBorder="1" applyAlignment="1">
      <alignment vertical="center"/>
    </xf>
    <xf numFmtId="49" fontId="8" fillId="3" borderId="35" xfId="0" applyNumberFormat="1" applyFont="1" applyFill="1" applyBorder="1" applyAlignment="1">
      <alignment vertical="center"/>
    </xf>
    <xf numFmtId="49" fontId="18" fillId="0" borderId="0" xfId="0" applyNumberFormat="1" applyFont="1" applyAlignment="1">
      <alignment vertical="top"/>
    </xf>
    <xf numFmtId="49" fontId="7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 wrapText="1"/>
    </xf>
    <xf numFmtId="4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6" fillId="6" borderId="0" xfId="0" applyFont="1" applyFill="1"/>
    <xf numFmtId="0" fontId="0" fillId="6" borderId="0" xfId="0" applyFill="1" applyAlignment="1">
      <alignment wrapText="1"/>
    </xf>
    <xf numFmtId="0" fontId="0" fillId="6" borderId="0" xfId="0" applyFill="1"/>
    <xf numFmtId="49" fontId="16" fillId="0" borderId="0" xfId="0" applyNumberFormat="1" applyFont="1" applyAlignment="1">
      <alignment horizontal="left" vertical="center"/>
    </xf>
    <xf numFmtId="4" fontId="7" fillId="3" borderId="43" xfId="0" applyNumberFormat="1" applyFont="1" applyFill="1" applyBorder="1" applyAlignment="1">
      <alignment vertical="center"/>
    </xf>
    <xf numFmtId="4" fontId="16" fillId="3" borderId="43" xfId="0" applyNumberFormat="1" applyFont="1" applyFill="1" applyBorder="1" applyAlignment="1">
      <alignment vertical="center"/>
    </xf>
    <xf numFmtId="3" fontId="16" fillId="3" borderId="4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horizontal="center" vertical="center"/>
    </xf>
    <xf numFmtId="0" fontId="16" fillId="5" borderId="43" xfId="0" applyFont="1" applyFill="1" applyBorder="1" applyAlignment="1">
      <alignment horizontal="center" vertical="center" wrapText="1"/>
    </xf>
    <xf numFmtId="0" fontId="16" fillId="5" borderId="44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top"/>
    </xf>
    <xf numFmtId="0" fontId="18" fillId="0" borderId="38" xfId="0" applyFont="1" applyBorder="1" applyAlignment="1">
      <alignment vertical="top"/>
    </xf>
    <xf numFmtId="49" fontId="18" fillId="0" borderId="39" xfId="0" applyNumberFormat="1" applyFont="1" applyBorder="1" applyAlignment="1">
      <alignment vertical="top"/>
    </xf>
    <xf numFmtId="0" fontId="18" fillId="0" borderId="39" xfId="0" applyFont="1" applyBorder="1" applyAlignment="1">
      <alignment horizontal="center" vertical="top" shrinkToFit="1"/>
    </xf>
    <xf numFmtId="164" fontId="18" fillId="0" borderId="39" xfId="0" applyNumberFormat="1" applyFont="1" applyBorder="1" applyAlignment="1">
      <alignment vertical="top" shrinkToFit="1"/>
    </xf>
    <xf numFmtId="4" fontId="18" fillId="4" borderId="39" xfId="0" applyNumberFormat="1" applyFont="1" applyFill="1" applyBorder="1" applyAlignment="1" applyProtection="1">
      <alignment vertical="top" shrinkToFit="1"/>
      <protection locked="0"/>
    </xf>
    <xf numFmtId="49" fontId="18" fillId="0" borderId="39" xfId="0" applyNumberFormat="1" applyFont="1" applyBorder="1" applyAlignment="1">
      <alignment horizontal="left" vertical="top" wrapText="1"/>
    </xf>
    <xf numFmtId="4" fontId="18" fillId="4" borderId="0" xfId="0" applyNumberFormat="1" applyFont="1" applyFill="1" applyAlignment="1" applyProtection="1">
      <alignment vertical="top" shrinkToFit="1"/>
      <protection locked="0"/>
    </xf>
    <xf numFmtId="4" fontId="18" fillId="0" borderId="0" xfId="0" applyNumberFormat="1" applyFont="1" applyAlignment="1" applyProtection="1">
      <alignment vertical="top" shrinkToFit="1"/>
      <protection locked="0"/>
    </xf>
    <xf numFmtId="0" fontId="18" fillId="0" borderId="0" xfId="0" applyFont="1" applyAlignment="1">
      <alignment horizontal="center" vertical="top" shrinkToFit="1"/>
    </xf>
    <xf numFmtId="164" fontId="18" fillId="0" borderId="0" xfId="0" applyNumberFormat="1" applyFont="1" applyAlignment="1">
      <alignment vertical="top" shrinkToFit="1"/>
    </xf>
    <xf numFmtId="49" fontId="18" fillId="0" borderId="18" xfId="0" applyNumberFormat="1" applyFont="1" applyBorder="1" applyAlignment="1">
      <alignment horizontal="left" vertical="top" wrapText="1"/>
    </xf>
    <xf numFmtId="49" fontId="18" fillId="4" borderId="0" xfId="0" applyNumberFormat="1" applyFont="1" applyFill="1" applyAlignment="1" applyProtection="1">
      <alignment horizontal="left" vertical="top" wrapText="1"/>
      <protection locked="0"/>
    </xf>
    <xf numFmtId="49" fontId="18" fillId="4" borderId="0" xfId="0" applyNumberFormat="1" applyFont="1" applyFill="1" applyAlignment="1" applyProtection="1">
      <alignment vertical="top"/>
      <protection locked="0"/>
    </xf>
    <xf numFmtId="4" fontId="18" fillId="0" borderId="39" xfId="0" applyNumberFormat="1" applyFont="1" applyBorder="1" applyAlignment="1" applyProtection="1">
      <alignment vertical="top" shrinkToFit="1"/>
      <protection locked="0"/>
    </xf>
    <xf numFmtId="49" fontId="18" fillId="0" borderId="0" xfId="0" applyNumberFormat="1" applyFont="1" applyAlignment="1">
      <alignment horizontal="left" vertical="top" wrapText="1"/>
    </xf>
    <xf numFmtId="49" fontId="8" fillId="0" borderId="0" xfId="0" applyNumberFormat="1" applyFont="1" applyAlignment="1">
      <alignment vertical="top"/>
    </xf>
    <xf numFmtId="4" fontId="8" fillId="0" borderId="0" xfId="0" applyNumberFormat="1" applyFont="1" applyAlignment="1">
      <alignment vertical="top" shrinkToFit="1"/>
    </xf>
    <xf numFmtId="4" fontId="8" fillId="0" borderId="6" xfId="0" applyNumberFormat="1" applyFont="1" applyBorder="1" applyAlignment="1">
      <alignment vertical="top" shrinkToFit="1"/>
    </xf>
    <xf numFmtId="0" fontId="8" fillId="3" borderId="34" xfId="0" applyFont="1" applyFill="1" applyBorder="1" applyAlignment="1">
      <alignment vertical="top"/>
    </xf>
    <xf numFmtId="49" fontId="8" fillId="3" borderId="35" xfId="0" applyNumberFormat="1" applyFont="1" applyFill="1" applyBorder="1" applyAlignment="1">
      <alignment vertical="top"/>
    </xf>
    <xf numFmtId="49" fontId="8" fillId="3" borderId="35" xfId="0" applyNumberFormat="1" applyFont="1" applyFill="1" applyBorder="1" applyAlignment="1">
      <alignment horizontal="left" vertical="top" wrapText="1"/>
    </xf>
    <xf numFmtId="0" fontId="8" fillId="3" borderId="35" xfId="0" applyFont="1" applyFill="1" applyBorder="1" applyAlignment="1">
      <alignment horizontal="center" vertical="top"/>
    </xf>
    <xf numFmtId="0" fontId="8" fillId="3" borderId="35" xfId="0" applyFont="1" applyFill="1" applyBorder="1" applyAlignment="1">
      <alignment vertical="top"/>
    </xf>
    <xf numFmtId="0" fontId="0" fillId="3" borderId="2" xfId="0" applyFill="1" applyBorder="1" applyAlignment="1">
      <alignment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top" wrapText="1"/>
    </xf>
    <xf numFmtId="165" fontId="21" fillId="0" borderId="0" xfId="0" applyNumberFormat="1" applyFont="1" applyAlignment="1">
      <alignment horizontal="right" vertical="top" wrapText="1"/>
    </xf>
    <xf numFmtId="49" fontId="22" fillId="0" borderId="39" xfId="0" applyNumberFormat="1" applyFont="1" applyBorder="1" applyAlignment="1">
      <alignment vertical="top"/>
    </xf>
    <xf numFmtId="49" fontId="22" fillId="0" borderId="39" xfId="0" applyNumberFormat="1" applyFont="1" applyBorder="1" applyAlignment="1">
      <alignment horizontal="left" vertical="top" wrapText="1"/>
    </xf>
    <xf numFmtId="49" fontId="22" fillId="0" borderId="0" xfId="0" applyNumberFormat="1" applyFont="1" applyAlignment="1">
      <alignment vertical="top"/>
    </xf>
    <xf numFmtId="4" fontId="7" fillId="6" borderId="48" xfId="0" applyNumberFormat="1" applyFont="1" applyFill="1" applyBorder="1" applyAlignment="1">
      <alignment vertical="center"/>
    </xf>
    <xf numFmtId="4" fontId="16" fillId="6" borderId="48" xfId="0" applyNumberFormat="1" applyFont="1" applyFill="1" applyBorder="1" applyAlignment="1">
      <alignment vertical="center"/>
    </xf>
    <xf numFmtId="3" fontId="16" fillId="6" borderId="49" xfId="0" applyNumberFormat="1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vertical="center"/>
    </xf>
    <xf numFmtId="0" fontId="16" fillId="3" borderId="34" xfId="0" applyFont="1" applyFill="1" applyBorder="1" applyAlignment="1">
      <alignment vertical="center" wrapText="1"/>
    </xf>
    <xf numFmtId="0" fontId="16" fillId="3" borderId="35" xfId="0" applyFont="1" applyFill="1" applyBorder="1" applyAlignment="1">
      <alignment vertical="center" wrapText="1"/>
    </xf>
    <xf numFmtId="4" fontId="16" fillId="3" borderId="36" xfId="0" applyNumberFormat="1" applyFont="1" applyFill="1" applyBorder="1" applyAlignment="1">
      <alignment horizontal="center" vertical="center"/>
    </xf>
    <xf numFmtId="4" fontId="16" fillId="3" borderId="36" xfId="0" applyNumberFormat="1" applyFont="1" applyFill="1" applyBorder="1" applyAlignment="1">
      <alignment vertical="center"/>
    </xf>
    <xf numFmtId="3" fontId="16" fillId="3" borderId="36" xfId="0" applyNumberFormat="1" applyFont="1" applyFill="1" applyBorder="1" applyAlignment="1">
      <alignment vertical="center"/>
    </xf>
    <xf numFmtId="4" fontId="7" fillId="7" borderId="36" xfId="0" applyNumberFormat="1" applyFont="1" applyFill="1" applyBorder="1" applyAlignment="1">
      <alignment vertical="center"/>
    </xf>
    <xf numFmtId="4" fontId="16" fillId="7" borderId="36" xfId="0" applyNumberFormat="1" applyFont="1" applyFill="1" applyBorder="1" applyAlignment="1">
      <alignment vertical="center"/>
    </xf>
    <xf numFmtId="3" fontId="16" fillId="7" borderId="45" xfId="0" applyNumberFormat="1" applyFont="1" applyFill="1" applyBorder="1" applyAlignment="1">
      <alignment horizontal="center" vertical="center"/>
    </xf>
    <xf numFmtId="0" fontId="6" fillId="7" borderId="0" xfId="0" applyFont="1" applyFill="1"/>
    <xf numFmtId="0" fontId="0" fillId="7" borderId="0" xfId="0" applyFill="1" applyAlignment="1">
      <alignment wrapText="1"/>
    </xf>
    <xf numFmtId="0" fontId="0" fillId="7" borderId="0" xfId="0" applyFill="1"/>
    <xf numFmtId="4" fontId="7" fillId="8" borderId="36" xfId="0" applyNumberFormat="1" applyFont="1" applyFill="1" applyBorder="1" applyAlignment="1">
      <alignment vertical="center"/>
    </xf>
    <xf numFmtId="4" fontId="16" fillId="8" borderId="36" xfId="0" applyNumberFormat="1" applyFont="1" applyFill="1" applyBorder="1" applyAlignment="1">
      <alignment vertical="center"/>
    </xf>
    <xf numFmtId="3" fontId="16" fillId="8" borderId="45" xfId="0" applyNumberFormat="1" applyFont="1" applyFill="1" applyBorder="1" applyAlignment="1">
      <alignment horizontal="center" vertical="center"/>
    </xf>
    <xf numFmtId="0" fontId="6" fillId="8" borderId="0" xfId="0" applyFont="1" applyFill="1"/>
    <xf numFmtId="0" fontId="0" fillId="8" borderId="0" xfId="0" applyFill="1" applyAlignment="1">
      <alignment wrapText="1"/>
    </xf>
    <xf numFmtId="0" fontId="0" fillId="8" borderId="0" xfId="0" applyFill="1"/>
    <xf numFmtId="49" fontId="0" fillId="3" borderId="0" xfId="0" applyNumberFormat="1" applyFill="1" applyAlignment="1">
      <alignment horizontal="left" vertical="center" wrapText="1"/>
    </xf>
    <xf numFmtId="49" fontId="0" fillId="3" borderId="6" xfId="0" applyNumberFormat="1" applyFill="1" applyBorder="1" applyAlignment="1">
      <alignment horizontal="left" vertical="center" wrapText="1"/>
    </xf>
    <xf numFmtId="0" fontId="8" fillId="0" borderId="0" xfId="0" applyFont="1" applyAlignment="1">
      <alignment vertical="top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49" fontId="16" fillId="8" borderId="14" xfId="0" applyNumberFormat="1" applyFont="1" applyFill="1" applyBorder="1" applyAlignment="1">
      <alignment horizontal="left" vertical="center"/>
    </xf>
    <xf numFmtId="49" fontId="16" fillId="8" borderId="35" xfId="0" applyNumberFormat="1" applyFont="1" applyFill="1" applyBorder="1" applyAlignment="1">
      <alignment horizontal="left" vertical="center"/>
    </xf>
    <xf numFmtId="49" fontId="16" fillId="8" borderId="22" xfId="0" applyNumberFormat="1" applyFont="1" applyFill="1" applyBorder="1" applyAlignment="1">
      <alignment horizontal="left" vertical="center"/>
    </xf>
    <xf numFmtId="49" fontId="16" fillId="7" borderId="14" xfId="0" applyNumberFormat="1" applyFont="1" applyFill="1" applyBorder="1" applyAlignment="1">
      <alignment horizontal="left" vertical="center"/>
    </xf>
    <xf numFmtId="49" fontId="16" fillId="7" borderId="35" xfId="0" applyNumberFormat="1" applyFont="1" applyFill="1" applyBorder="1" applyAlignment="1">
      <alignment horizontal="left" vertical="center"/>
    </xf>
    <xf numFmtId="49" fontId="16" fillId="7" borderId="22" xfId="0" applyNumberFormat="1" applyFont="1" applyFill="1" applyBorder="1" applyAlignment="1">
      <alignment horizontal="left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0" fillId="3" borderId="1" xfId="0" applyFill="1" applyBorder="1" applyAlignment="1">
      <alignment horizontal="left" vertical="center"/>
    </xf>
    <xf numFmtId="49" fontId="0" fillId="3" borderId="0" xfId="0" applyNumberFormat="1" applyFill="1" applyAlignment="1">
      <alignment horizontal="left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6" fillId="5" borderId="7" xfId="0" applyFont="1" applyFill="1" applyBorder="1" applyAlignment="1">
      <alignment horizontal="center" vertical="center" wrapText="1"/>
    </xf>
    <xf numFmtId="0" fontId="16" fillId="5" borderId="42" xfId="0" applyFont="1" applyFill="1" applyBorder="1" applyAlignment="1">
      <alignment horizontal="center" vertical="center" wrapText="1"/>
    </xf>
    <xf numFmtId="49" fontId="16" fillId="6" borderId="20" xfId="0" applyNumberFormat="1" applyFont="1" applyFill="1" applyBorder="1" applyAlignment="1">
      <alignment horizontal="left" vertical="center"/>
    </xf>
    <xf numFmtId="49" fontId="16" fillId="6" borderId="46" xfId="0" applyNumberFormat="1" applyFont="1" applyFill="1" applyBorder="1" applyAlignment="1">
      <alignment horizontal="left" vertical="center"/>
    </xf>
    <xf numFmtId="49" fontId="16" fillId="6" borderId="47" xfId="0" applyNumberFormat="1" applyFont="1" applyFill="1" applyBorder="1" applyAlignment="1">
      <alignment horizontal="left" vertical="center"/>
    </xf>
    <xf numFmtId="0" fontId="16" fillId="3" borderId="11" xfId="0" applyFont="1" applyFill="1" applyBorder="1" applyAlignment="1">
      <alignment horizontal="left" vertical="center"/>
    </xf>
    <xf numFmtId="0" fontId="16" fillId="3" borderId="7" xfId="0" applyFont="1" applyFill="1" applyBorder="1" applyAlignment="1">
      <alignment horizontal="left" vertical="center"/>
    </xf>
    <xf numFmtId="0" fontId="16" fillId="3" borderId="42" xfId="0" applyFont="1" applyFill="1" applyBorder="1" applyAlignment="1">
      <alignment horizontal="left" vertical="center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0" fontId="8" fillId="4" borderId="0" xfId="0" applyFont="1" applyFill="1" applyAlignment="1" applyProtection="1">
      <alignment horizontal="left" vertical="center"/>
      <protection locked="0"/>
    </xf>
    <xf numFmtId="49" fontId="0" fillId="3" borderId="6" xfId="0" applyNumberFormat="1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8" fillId="0" borderId="18" xfId="0" applyFont="1" applyBorder="1" applyAlignment="1">
      <alignment horizontal="left" vertical="top" wrapText="1"/>
    </xf>
    <xf numFmtId="0" fontId="18" fillId="0" borderId="18" xfId="0" applyFont="1" applyBorder="1" applyAlignment="1">
      <alignment vertical="top" wrapText="1"/>
    </xf>
    <xf numFmtId="0" fontId="6" fillId="0" borderId="2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49" fontId="6" fillId="0" borderId="18" xfId="0" applyNumberFormat="1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49" fontId="8" fillId="0" borderId="35" xfId="0" applyNumberFormat="1" applyFont="1" applyBorder="1" applyAlignment="1">
      <alignment vertical="center"/>
    </xf>
    <xf numFmtId="0" fontId="8" fillId="0" borderId="35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49" fontId="8" fillId="3" borderId="6" xfId="0" applyNumberFormat="1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18" fillId="4" borderId="0" xfId="0" applyNumberFormat="1" applyFont="1" applyFill="1" applyAlignment="1" applyProtection="1">
      <alignment horizontal="left" vertical="top" wrapText="1"/>
      <protection locked="0"/>
    </xf>
    <xf numFmtId="49" fontId="18" fillId="4" borderId="0" xfId="0" applyNumberFormat="1" applyFont="1" applyFill="1" applyAlignment="1" applyProtection="1">
      <alignment vertical="top"/>
      <protection locked="0"/>
    </xf>
    <xf numFmtId="0" fontId="21" fillId="0" borderId="0" xfId="0" applyFont="1" applyAlignment="1">
      <alignment horizontal="left" vertical="top" wrapText="1"/>
    </xf>
    <xf numFmtId="49" fontId="18" fillId="4" borderId="18" xfId="0" applyNumberFormat="1" applyFont="1" applyFill="1" applyBorder="1" applyAlignment="1" applyProtection="1">
      <alignment horizontal="left" vertical="top" wrapText="1"/>
      <protection locked="0"/>
    </xf>
    <xf numFmtId="49" fontId="18" fillId="4" borderId="18" xfId="0" applyNumberFormat="1" applyFont="1" applyFill="1" applyBorder="1" applyAlignment="1" applyProtection="1">
      <alignment vertical="top"/>
      <protection locked="0"/>
    </xf>
    <xf numFmtId="0" fontId="20" fillId="0" borderId="18" xfId="0" applyFont="1" applyBorder="1" applyAlignment="1">
      <alignment horizontal="left" vertical="top" wrapText="1"/>
    </xf>
    <xf numFmtId="0" fontId="20" fillId="0" borderId="18" xfId="0" applyFont="1" applyBorder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F14" sqref="F14"/>
    </sheetView>
  </sheetViews>
  <sheetFormatPr defaultRowHeight="12.75" x14ac:dyDescent="0.2"/>
  <sheetData>
    <row r="1" spans="1:7" x14ac:dyDescent="0.2">
      <c r="A1" s="21" t="s">
        <v>37</v>
      </c>
    </row>
    <row r="2" spans="1:7" ht="57.75" customHeight="1" x14ac:dyDescent="0.2">
      <c r="A2" s="241" t="s">
        <v>38</v>
      </c>
      <c r="B2" s="241"/>
      <c r="C2" s="241"/>
      <c r="D2" s="241"/>
      <c r="E2" s="241"/>
      <c r="F2" s="241"/>
      <c r="G2" s="241"/>
    </row>
  </sheetData>
  <sheetProtection password="C730" sheet="1" objects="1" scenarios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4"/>
  <sheetViews>
    <sheetView showGridLines="0" tabSelected="1" topLeftCell="B1" zoomScale="130" zoomScaleNormal="130" zoomScaleSheetLayoutView="75" workbookViewId="0">
      <selection activeCell="I22" sqref="I22:J2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1" customWidth="1"/>
    <col min="4" max="4" width="13" style="51" customWidth="1"/>
    <col min="5" max="5" width="9.7109375" style="51" customWidth="1"/>
    <col min="6" max="6" width="11.7109375" customWidth="1"/>
    <col min="7" max="7" width="13" customWidth="1"/>
    <col min="8" max="8" width="11.5703125" customWidth="1"/>
    <col min="9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6" t="s">
        <v>35</v>
      </c>
      <c r="B1" s="254" t="s">
        <v>40</v>
      </c>
      <c r="C1" s="255"/>
      <c r="D1" s="255"/>
      <c r="E1" s="255"/>
      <c r="F1" s="255"/>
      <c r="G1" s="255"/>
      <c r="H1" s="255"/>
      <c r="I1" s="255"/>
      <c r="J1" s="256"/>
    </row>
    <row r="2" spans="1:15" ht="48" customHeight="1" x14ac:dyDescent="0.2">
      <c r="A2" s="2"/>
      <c r="B2" s="74" t="s">
        <v>22</v>
      </c>
      <c r="C2" s="75"/>
      <c r="D2" s="76" t="s">
        <v>338</v>
      </c>
      <c r="E2" s="261" t="s">
        <v>340</v>
      </c>
      <c r="F2" s="262"/>
      <c r="G2" s="262"/>
      <c r="H2" s="262"/>
      <c r="I2" s="262"/>
      <c r="J2" s="263"/>
      <c r="O2" s="1"/>
    </row>
    <row r="3" spans="1:15" ht="14.25" customHeight="1" x14ac:dyDescent="0.2">
      <c r="A3" s="2"/>
      <c r="B3" s="286" t="s">
        <v>353</v>
      </c>
      <c r="C3" s="75"/>
      <c r="D3" s="238" t="s">
        <v>350</v>
      </c>
      <c r="E3" s="287" t="s">
        <v>352</v>
      </c>
      <c r="F3" s="287"/>
      <c r="G3" s="287"/>
      <c r="H3" s="287"/>
      <c r="I3" s="75"/>
      <c r="J3" s="207"/>
      <c r="O3" s="1"/>
    </row>
    <row r="4" spans="1:15" ht="14.25" customHeight="1" x14ac:dyDescent="0.2">
      <c r="A4" s="2"/>
      <c r="B4" s="286"/>
      <c r="C4" s="75"/>
      <c r="D4" s="238" t="s">
        <v>354</v>
      </c>
      <c r="E4" s="287" t="s">
        <v>351</v>
      </c>
      <c r="F4" s="287"/>
      <c r="G4" s="287"/>
      <c r="H4" s="75"/>
      <c r="I4" s="75"/>
      <c r="J4" s="207"/>
      <c r="O4" s="1"/>
    </row>
    <row r="5" spans="1:15" ht="14.25" customHeight="1" x14ac:dyDescent="0.2">
      <c r="A5" s="2"/>
      <c r="B5" s="286"/>
      <c r="C5" s="75"/>
      <c r="D5" s="238" t="s">
        <v>339</v>
      </c>
      <c r="E5" s="287" t="s">
        <v>342</v>
      </c>
      <c r="F5" s="287"/>
      <c r="G5" s="287"/>
      <c r="H5" s="75"/>
      <c r="I5" s="75"/>
      <c r="J5" s="207"/>
    </row>
    <row r="6" spans="1:15" ht="23.25" customHeight="1" x14ac:dyDescent="0.2">
      <c r="A6" s="73">
        <v>203</v>
      </c>
      <c r="B6" s="77" t="s">
        <v>45</v>
      </c>
      <c r="C6" s="78"/>
      <c r="D6" s="239" t="s">
        <v>338</v>
      </c>
      <c r="E6" s="302" t="s">
        <v>341</v>
      </c>
      <c r="F6" s="303"/>
      <c r="G6" s="303"/>
      <c r="H6" s="303"/>
      <c r="I6" s="303"/>
      <c r="J6" s="304"/>
    </row>
    <row r="7" spans="1:15" ht="24" customHeight="1" x14ac:dyDescent="0.2">
      <c r="A7" s="2"/>
      <c r="B7" s="31" t="s">
        <v>117</v>
      </c>
      <c r="D7" s="274" t="s">
        <v>355</v>
      </c>
      <c r="E7" s="274"/>
      <c r="F7" s="274"/>
      <c r="G7" s="274"/>
      <c r="H7" s="18" t="s">
        <v>39</v>
      </c>
      <c r="I7" s="159" t="s">
        <v>359</v>
      </c>
      <c r="J7" s="8"/>
    </row>
    <row r="8" spans="1:15" ht="15.75" customHeight="1" x14ac:dyDescent="0.2">
      <c r="A8" s="2"/>
      <c r="B8" s="28"/>
      <c r="C8" s="54"/>
      <c r="D8" s="275" t="s">
        <v>356</v>
      </c>
      <c r="E8" s="276"/>
      <c r="F8" s="276"/>
      <c r="G8" s="276"/>
      <c r="H8" s="18" t="s">
        <v>33</v>
      </c>
      <c r="I8" s="22"/>
      <c r="J8" s="8"/>
    </row>
    <row r="9" spans="1:15" ht="15.75" customHeight="1" x14ac:dyDescent="0.2">
      <c r="A9" s="2"/>
      <c r="B9" s="29"/>
      <c r="C9" s="55"/>
      <c r="D9" s="52" t="s">
        <v>357</v>
      </c>
      <c r="E9" s="277" t="s">
        <v>358</v>
      </c>
      <c r="F9" s="277"/>
      <c r="G9" s="277"/>
      <c r="H9" s="24"/>
      <c r="I9" s="23"/>
      <c r="J9" s="34"/>
    </row>
    <row r="10" spans="1:15" ht="24" hidden="1" customHeight="1" x14ac:dyDescent="0.2">
      <c r="A10" s="2"/>
      <c r="B10" s="31" t="s">
        <v>20</v>
      </c>
      <c r="D10" s="50"/>
      <c r="H10" s="18" t="s">
        <v>39</v>
      </c>
      <c r="I10" s="22"/>
      <c r="J10" s="8"/>
    </row>
    <row r="11" spans="1:15" ht="15.75" hidden="1" customHeight="1" x14ac:dyDescent="0.2">
      <c r="A11" s="2"/>
      <c r="B11" s="2"/>
      <c r="D11" s="50"/>
      <c r="H11" s="18" t="s">
        <v>33</v>
      </c>
      <c r="I11" s="22"/>
      <c r="J11" s="8"/>
    </row>
    <row r="12" spans="1:15" ht="15.75" hidden="1" customHeight="1" x14ac:dyDescent="0.2">
      <c r="A12" s="2"/>
      <c r="B12" s="35"/>
      <c r="C12" s="55"/>
      <c r="D12" s="52"/>
      <c r="E12" s="56"/>
      <c r="F12" s="24"/>
      <c r="G12" s="14"/>
      <c r="H12" s="14"/>
      <c r="I12" s="36"/>
      <c r="J12" s="34"/>
    </row>
    <row r="13" spans="1:15" ht="24" customHeight="1" x14ac:dyDescent="0.2">
      <c r="A13" s="2"/>
      <c r="B13" s="31" t="s">
        <v>19</v>
      </c>
      <c r="D13" s="265"/>
      <c r="E13" s="265"/>
      <c r="F13" s="265"/>
      <c r="G13" s="265"/>
      <c r="H13" s="18" t="s">
        <v>39</v>
      </c>
      <c r="I13" s="80"/>
      <c r="J13" s="8"/>
    </row>
    <row r="14" spans="1:15" ht="15.75" customHeight="1" x14ac:dyDescent="0.2">
      <c r="A14" s="2"/>
      <c r="B14" s="28"/>
      <c r="C14" s="54"/>
      <c r="D14" s="301"/>
      <c r="E14" s="301"/>
      <c r="F14" s="301"/>
      <c r="G14" s="301"/>
      <c r="H14" s="18" t="s">
        <v>33</v>
      </c>
      <c r="I14" s="80"/>
      <c r="J14" s="8"/>
    </row>
    <row r="15" spans="1:15" ht="15.75" customHeight="1" x14ac:dyDescent="0.2">
      <c r="A15" s="2"/>
      <c r="B15" s="29"/>
      <c r="C15" s="55"/>
      <c r="D15" s="79"/>
      <c r="E15" s="272"/>
      <c r="F15" s="273"/>
      <c r="G15" s="273"/>
      <c r="H15" s="19"/>
      <c r="I15" s="23"/>
      <c r="J15" s="34"/>
    </row>
    <row r="16" spans="1:15" ht="24" customHeight="1" x14ac:dyDescent="0.2">
      <c r="A16" s="2"/>
      <c r="B16" s="150" t="s">
        <v>21</v>
      </c>
      <c r="C16" s="274" t="s">
        <v>116</v>
      </c>
      <c r="D16" s="274"/>
      <c r="E16" s="57"/>
      <c r="F16" s="43"/>
      <c r="G16" s="43"/>
      <c r="H16" s="44"/>
      <c r="I16" s="43"/>
      <c r="J16" s="45"/>
    </row>
    <row r="17" spans="1:10" ht="32.25" customHeight="1" x14ac:dyDescent="0.2">
      <c r="A17" s="2"/>
      <c r="B17" s="35" t="s">
        <v>31</v>
      </c>
      <c r="C17" s="58"/>
      <c r="D17" s="53"/>
      <c r="E17" s="264"/>
      <c r="F17" s="264"/>
      <c r="G17" s="266"/>
      <c r="H17" s="266"/>
      <c r="I17" s="266" t="s">
        <v>28</v>
      </c>
      <c r="J17" s="267"/>
    </row>
    <row r="18" spans="1:10" ht="23.25" customHeight="1" x14ac:dyDescent="0.2">
      <c r="A18" s="129" t="s">
        <v>23</v>
      </c>
      <c r="B18" s="38" t="s">
        <v>23</v>
      </c>
      <c r="C18" s="59"/>
      <c r="D18" s="60"/>
      <c r="E18" s="244"/>
      <c r="F18" s="245"/>
      <c r="G18" s="244"/>
      <c r="H18" s="245"/>
      <c r="I18" s="244">
        <f>I54-I21-I22</f>
        <v>0</v>
      </c>
      <c r="J18" s="260"/>
    </row>
    <row r="19" spans="1:10" ht="23.25" customHeight="1" x14ac:dyDescent="0.2">
      <c r="A19" s="129" t="s">
        <v>24</v>
      </c>
      <c r="B19" s="38" t="s">
        <v>24</v>
      </c>
      <c r="C19" s="59"/>
      <c r="D19" s="60"/>
      <c r="E19" s="244"/>
      <c r="F19" s="245"/>
      <c r="G19" s="244"/>
      <c r="H19" s="245"/>
      <c r="I19" s="244">
        <v>0</v>
      </c>
      <c r="J19" s="260"/>
    </row>
    <row r="20" spans="1:10" ht="23.25" customHeight="1" x14ac:dyDescent="0.2">
      <c r="A20" s="129" t="s">
        <v>25</v>
      </c>
      <c r="B20" s="38" t="s">
        <v>25</v>
      </c>
      <c r="C20" s="59"/>
      <c r="D20" s="60"/>
      <c r="E20" s="244"/>
      <c r="F20" s="245"/>
      <c r="G20" s="244"/>
      <c r="H20" s="245"/>
      <c r="I20" s="244">
        <v>0</v>
      </c>
      <c r="J20" s="260"/>
    </row>
    <row r="21" spans="1:10" ht="23.25" customHeight="1" x14ac:dyDescent="0.2">
      <c r="A21" s="129" t="s">
        <v>60</v>
      </c>
      <c r="B21" s="38" t="s">
        <v>26</v>
      </c>
      <c r="C21" s="59"/>
      <c r="D21" s="60"/>
      <c r="E21" s="244"/>
      <c r="F21" s="245"/>
      <c r="G21" s="244"/>
      <c r="H21" s="245"/>
      <c r="I21" s="244">
        <f>I68+I82+I96</f>
        <v>0</v>
      </c>
      <c r="J21" s="260"/>
    </row>
    <row r="22" spans="1:10" ht="23.25" customHeight="1" x14ac:dyDescent="0.2">
      <c r="A22" s="129" t="s">
        <v>61</v>
      </c>
      <c r="B22" s="38" t="s">
        <v>27</v>
      </c>
      <c r="C22" s="59"/>
      <c r="D22" s="60"/>
      <c r="E22" s="244"/>
      <c r="F22" s="245"/>
      <c r="G22" s="244"/>
      <c r="H22" s="245"/>
      <c r="I22" s="244">
        <f>I69+I83+I97</f>
        <v>0</v>
      </c>
      <c r="J22" s="260"/>
    </row>
    <row r="23" spans="1:10" ht="23.25" customHeight="1" x14ac:dyDescent="0.2">
      <c r="A23" s="2"/>
      <c r="B23" s="47" t="s">
        <v>118</v>
      </c>
      <c r="C23" s="61"/>
      <c r="D23" s="62"/>
      <c r="E23" s="246"/>
      <c r="F23" s="247"/>
      <c r="G23" s="246"/>
      <c r="H23" s="247"/>
      <c r="I23" s="246">
        <f>I54</f>
        <v>0</v>
      </c>
      <c r="J23" s="283"/>
    </row>
    <row r="24" spans="1:10" ht="33" customHeight="1" x14ac:dyDescent="0.2">
      <c r="A24" s="2"/>
      <c r="B24" s="42" t="s">
        <v>32</v>
      </c>
      <c r="C24" s="59"/>
      <c r="D24" s="60"/>
      <c r="E24" s="63"/>
      <c r="F24" s="39"/>
      <c r="G24" s="33"/>
      <c r="H24" s="33"/>
      <c r="I24" s="33"/>
      <c r="J24" s="40"/>
    </row>
    <row r="25" spans="1:10" ht="23.25" customHeight="1" x14ac:dyDescent="0.2">
      <c r="A25" s="2"/>
      <c r="B25" s="38" t="s">
        <v>12</v>
      </c>
      <c r="C25" s="59"/>
      <c r="D25" s="60"/>
      <c r="E25" s="64">
        <v>12</v>
      </c>
      <c r="F25" s="39" t="s">
        <v>0</v>
      </c>
      <c r="G25" s="281">
        <v>0</v>
      </c>
      <c r="H25" s="282"/>
      <c r="I25" s="282"/>
      <c r="J25" s="40" t="str">
        <f t="shared" ref="J25:J31" si="0">Mena</f>
        <v>CZK</v>
      </c>
    </row>
    <row r="26" spans="1:10" ht="23.25" hidden="1" customHeight="1" x14ac:dyDescent="0.2">
      <c r="A26" s="2"/>
      <c r="B26" s="38" t="s">
        <v>13</v>
      </c>
      <c r="C26" s="59"/>
      <c r="D26" s="60"/>
      <c r="E26" s="64">
        <f>SazbaDPH1</f>
        <v>12</v>
      </c>
      <c r="F26" s="39" t="s">
        <v>0</v>
      </c>
      <c r="G26" s="279">
        <v>0</v>
      </c>
      <c r="H26" s="280"/>
      <c r="I26" s="280"/>
      <c r="J26" s="40" t="str">
        <f t="shared" si="0"/>
        <v>CZK</v>
      </c>
    </row>
    <row r="27" spans="1:10" ht="23.25" customHeight="1" x14ac:dyDescent="0.2">
      <c r="A27" s="2"/>
      <c r="B27" s="38" t="s">
        <v>14</v>
      </c>
      <c r="C27" s="59"/>
      <c r="D27" s="60"/>
      <c r="E27" s="64">
        <v>21</v>
      </c>
      <c r="F27" s="39" t="s">
        <v>0</v>
      </c>
      <c r="G27" s="281">
        <f>I23</f>
        <v>0</v>
      </c>
      <c r="H27" s="282"/>
      <c r="I27" s="282"/>
      <c r="J27" s="40" t="str">
        <f t="shared" si="0"/>
        <v>CZK</v>
      </c>
    </row>
    <row r="28" spans="1:10" ht="23.25" hidden="1" customHeight="1" x14ac:dyDescent="0.2">
      <c r="A28" s="2"/>
      <c r="B28" s="32" t="s">
        <v>15</v>
      </c>
      <c r="C28" s="65"/>
      <c r="D28" s="53"/>
      <c r="E28" s="66">
        <f>SazbaDPH2</f>
        <v>21</v>
      </c>
      <c r="F28" s="30" t="s">
        <v>0</v>
      </c>
      <c r="G28" s="257">
        <v>0</v>
      </c>
      <c r="H28" s="258"/>
      <c r="I28" s="258"/>
      <c r="J28" s="37" t="str">
        <f t="shared" si="0"/>
        <v>CZK</v>
      </c>
    </row>
    <row r="29" spans="1:10" ht="23.25" customHeight="1" x14ac:dyDescent="0.2">
      <c r="A29" s="2"/>
      <c r="B29" s="38" t="s">
        <v>119</v>
      </c>
      <c r="C29" s="59"/>
      <c r="D29" s="60"/>
      <c r="E29" s="64">
        <v>21</v>
      </c>
      <c r="F29" s="39" t="s">
        <v>0</v>
      </c>
      <c r="G29" s="281">
        <f>ZakladDPHZakl/100*21</f>
        <v>0</v>
      </c>
      <c r="H29" s="282"/>
      <c r="I29" s="282"/>
      <c r="J29" s="40" t="str">
        <f t="shared" si="0"/>
        <v>CZK</v>
      </c>
    </row>
    <row r="30" spans="1:10" ht="23.25" customHeight="1" thickBot="1" x14ac:dyDescent="0.25">
      <c r="A30" s="2">
        <f>ZakladDPHSni+ZakladDPHZakl</f>
        <v>0</v>
      </c>
      <c r="B30" s="31" t="s">
        <v>4</v>
      </c>
      <c r="C30" s="67"/>
      <c r="D30" s="68"/>
      <c r="E30" s="67"/>
      <c r="F30" s="16"/>
      <c r="G30" s="259">
        <v>0</v>
      </c>
      <c r="H30" s="259"/>
      <c r="I30" s="259"/>
      <c r="J30" s="41" t="str">
        <f t="shared" si="0"/>
        <v>CZK</v>
      </c>
    </row>
    <row r="31" spans="1:10" ht="27.75" customHeight="1" thickBot="1" x14ac:dyDescent="0.25">
      <c r="A31" s="2">
        <f>(A30-INT(A30))*100</f>
        <v>0</v>
      </c>
      <c r="B31" s="111" t="s">
        <v>34</v>
      </c>
      <c r="C31" s="112"/>
      <c r="D31" s="112"/>
      <c r="E31" s="113"/>
      <c r="F31" s="114"/>
      <c r="G31" s="284">
        <f>ZakladDPHZakl*1.21</f>
        <v>0</v>
      </c>
      <c r="H31" s="285"/>
      <c r="I31" s="285"/>
      <c r="J31" s="115" t="str">
        <f t="shared" si="0"/>
        <v>CZK</v>
      </c>
    </row>
    <row r="32" spans="1:10" ht="27.75" hidden="1" customHeight="1" thickBot="1" x14ac:dyDescent="0.25">
      <c r="A32" s="2"/>
      <c r="B32" s="111" t="s">
        <v>34</v>
      </c>
      <c r="C32" s="116"/>
      <c r="D32" s="116"/>
      <c r="E32" s="116"/>
      <c r="F32" s="117"/>
      <c r="G32" s="284">
        <f>ZakladDPHSni+DPHSni+ZakladDPHZakl+DPHZakl+Zaokrouhleni</f>
        <v>0</v>
      </c>
      <c r="H32" s="284"/>
      <c r="I32" s="284"/>
      <c r="J32" s="118" t="s">
        <v>49</v>
      </c>
    </row>
    <row r="33" spans="1:10" ht="12.75" customHeight="1" x14ac:dyDescent="0.2">
      <c r="A33" s="2"/>
      <c r="B33" s="2"/>
      <c r="J33" s="9"/>
    </row>
    <row r="34" spans="1:10" ht="30" customHeight="1" x14ac:dyDescent="0.2">
      <c r="A34" s="2"/>
      <c r="B34" s="2"/>
      <c r="J34" s="9"/>
    </row>
    <row r="35" spans="1:10" ht="18.75" customHeight="1" x14ac:dyDescent="0.2">
      <c r="A35" s="2"/>
      <c r="B35" s="17"/>
      <c r="C35" s="69" t="s">
        <v>11</v>
      </c>
      <c r="D35" s="70"/>
      <c r="E35" s="70"/>
      <c r="F35" s="15" t="s">
        <v>10</v>
      </c>
      <c r="G35" s="26"/>
      <c r="H35" s="27"/>
      <c r="I35" s="26"/>
      <c r="J35" s="9"/>
    </row>
    <row r="36" spans="1:10" ht="47.25" customHeight="1" x14ac:dyDescent="0.2">
      <c r="A36" s="2"/>
      <c r="B36" s="2"/>
      <c r="J36" s="9"/>
    </row>
    <row r="37" spans="1:10" s="21" customFormat="1" ht="18.75" customHeight="1" x14ac:dyDescent="0.2">
      <c r="A37" s="20"/>
      <c r="B37" s="20"/>
      <c r="C37" s="71"/>
      <c r="D37" s="268"/>
      <c r="E37" s="269"/>
      <c r="G37" s="270"/>
      <c r="H37" s="271"/>
      <c r="I37" s="271"/>
      <c r="J37" s="25"/>
    </row>
    <row r="38" spans="1:10" ht="12.75" customHeight="1" x14ac:dyDescent="0.2">
      <c r="A38" s="2"/>
      <c r="B38" s="2"/>
      <c r="D38" s="278" t="s">
        <v>2</v>
      </c>
      <c r="E38" s="278"/>
      <c r="H38" s="10" t="s">
        <v>3</v>
      </c>
      <c r="J38" s="9"/>
    </row>
    <row r="39" spans="1:10" ht="13.5" customHeight="1" thickBot="1" x14ac:dyDescent="0.25">
      <c r="A39" s="11"/>
      <c r="B39" s="11"/>
      <c r="C39" s="72"/>
      <c r="D39" s="72"/>
      <c r="E39" s="72"/>
      <c r="F39" s="12"/>
      <c r="G39" s="12"/>
      <c r="H39" s="12"/>
      <c r="I39" s="12"/>
      <c r="J39" s="13"/>
    </row>
    <row r="40" spans="1:10" ht="27" hidden="1" customHeight="1" x14ac:dyDescent="0.2">
      <c r="B40" s="84" t="s">
        <v>16</v>
      </c>
      <c r="C40" s="85"/>
      <c r="D40" s="85"/>
      <c r="E40" s="85"/>
      <c r="F40" s="86"/>
      <c r="G40" s="86"/>
      <c r="H40" s="86"/>
      <c r="I40" s="86"/>
      <c r="J40" s="87"/>
    </row>
    <row r="41" spans="1:10" ht="25.5" hidden="1" customHeight="1" x14ac:dyDescent="0.2">
      <c r="A41" s="83" t="s">
        <v>36</v>
      </c>
      <c r="B41" s="88" t="s">
        <v>17</v>
      </c>
      <c r="C41" s="89" t="s">
        <v>5</v>
      </c>
      <c r="D41" s="89"/>
      <c r="E41" s="89"/>
      <c r="F41" s="90" t="str">
        <f>B25</f>
        <v>Základ pro sníženou DPH</v>
      </c>
      <c r="G41" s="90" t="str">
        <f>B27</f>
        <v>Základ pro základní DPH</v>
      </c>
      <c r="H41" s="91" t="s">
        <v>18</v>
      </c>
      <c r="I41" s="92" t="s">
        <v>1</v>
      </c>
      <c r="J41" s="93" t="s">
        <v>0</v>
      </c>
    </row>
    <row r="42" spans="1:10" ht="25.5" hidden="1" customHeight="1" x14ac:dyDescent="0.2">
      <c r="A42" s="83">
        <v>1</v>
      </c>
      <c r="B42" s="94" t="s">
        <v>46</v>
      </c>
      <c r="C42" s="297"/>
      <c r="D42" s="297"/>
      <c r="E42" s="297"/>
      <c r="F42" s="95" t="e">
        <f>'SO 103 Poštovní'!#REF!</f>
        <v>#REF!</v>
      </c>
      <c r="G42" s="96" t="e">
        <f>'SO 103 Poštovní'!#REF!</f>
        <v>#REF!</v>
      </c>
      <c r="H42" s="97"/>
      <c r="I42" s="98" t="e">
        <f>F42+G42+H42</f>
        <v>#REF!</v>
      </c>
      <c r="J42" s="99" t="e">
        <f>IF(CenaCelkemVypocet=0,"",I42/CenaCelkemVypocet*100)</f>
        <v>#REF!</v>
      </c>
    </row>
    <row r="43" spans="1:10" ht="25.5" hidden="1" customHeight="1" x14ac:dyDescent="0.2">
      <c r="A43" s="83">
        <v>2</v>
      </c>
      <c r="B43" s="100"/>
      <c r="C43" s="298" t="s">
        <v>47</v>
      </c>
      <c r="D43" s="298"/>
      <c r="E43" s="298"/>
      <c r="F43" s="101"/>
      <c r="G43" s="102"/>
      <c r="H43" s="102"/>
      <c r="I43" s="103"/>
      <c r="J43" s="104"/>
    </row>
    <row r="44" spans="1:10" ht="25.5" hidden="1" customHeight="1" x14ac:dyDescent="0.2">
      <c r="A44" s="83">
        <v>2</v>
      </c>
      <c r="B44" s="100" t="s">
        <v>43</v>
      </c>
      <c r="C44" s="298" t="s">
        <v>44</v>
      </c>
      <c r="D44" s="298"/>
      <c r="E44" s="298"/>
      <c r="F44" s="101" t="e">
        <f>'SO 103 Poštovní'!#REF!</f>
        <v>#REF!</v>
      </c>
      <c r="G44" s="102" t="e">
        <f>'SO 103 Poštovní'!#REF!</f>
        <v>#REF!</v>
      </c>
      <c r="H44" s="102"/>
      <c r="I44" s="103" t="e">
        <f>F44+G44+H44</f>
        <v>#REF!</v>
      </c>
      <c r="J44" s="104" t="e">
        <f>IF(CenaCelkemVypocet=0,"",I44/CenaCelkemVypocet*100)</f>
        <v>#REF!</v>
      </c>
    </row>
    <row r="45" spans="1:10" ht="25.5" hidden="1" customHeight="1" x14ac:dyDescent="0.2">
      <c r="A45" s="83">
        <v>3</v>
      </c>
      <c r="B45" s="105" t="s">
        <v>41</v>
      </c>
      <c r="C45" s="297" t="s">
        <v>42</v>
      </c>
      <c r="D45" s="297"/>
      <c r="E45" s="297"/>
      <c r="F45" s="106" t="e">
        <f>'SO 103 Poštovní'!#REF!</f>
        <v>#REF!</v>
      </c>
      <c r="G45" s="97" t="e">
        <f>'SO 103 Poštovní'!#REF!</f>
        <v>#REF!</v>
      </c>
      <c r="H45" s="97"/>
      <c r="I45" s="98" t="e">
        <f>F45+G45+H45</f>
        <v>#REF!</v>
      </c>
      <c r="J45" s="99" t="e">
        <f>IF(CenaCelkemVypocet=0,"",I45/CenaCelkemVypocet*100)</f>
        <v>#REF!</v>
      </c>
    </row>
    <row r="46" spans="1:10" ht="25.5" hidden="1" customHeight="1" x14ac:dyDescent="0.2">
      <c r="A46" s="83"/>
      <c r="B46" s="299" t="s">
        <v>48</v>
      </c>
      <c r="C46" s="300"/>
      <c r="D46" s="300"/>
      <c r="E46" s="300"/>
      <c r="F46" s="107" t="e">
        <f>SUMIF(A42:A45,"=1",F42:F45)</f>
        <v>#REF!</v>
      </c>
      <c r="G46" s="108" t="e">
        <f>SUMIF(A42:A45,"=1",G42:G45)</f>
        <v>#REF!</v>
      </c>
      <c r="H46" s="108">
        <f>SUMIF(A42:A45,"=1",H42:H45)</f>
        <v>0</v>
      </c>
      <c r="I46" s="109" t="e">
        <f>SUMIF(A42:A45,"=1",I42:I45)</f>
        <v>#REF!</v>
      </c>
      <c r="J46" s="110" t="e">
        <f>SUMIF(A42:A45,"=1",J42:J45)</f>
        <v>#REF!</v>
      </c>
    </row>
    <row r="48" spans="1:10" ht="16.5" thickBot="1" x14ac:dyDescent="0.3">
      <c r="B48" s="119" t="s">
        <v>123</v>
      </c>
    </row>
    <row r="49" spans="2:11" ht="21.75" customHeight="1" thickBot="1" x14ac:dyDescent="0.25">
      <c r="B49" s="288" t="s">
        <v>5</v>
      </c>
      <c r="C49" s="289"/>
      <c r="D49" s="289"/>
      <c r="E49" s="289"/>
      <c r="F49" s="289"/>
      <c r="G49" s="290"/>
      <c r="H49" s="181"/>
      <c r="I49" s="181" t="s">
        <v>28</v>
      </c>
      <c r="J49" s="182" t="s">
        <v>0</v>
      </c>
      <c r="K49" s="178"/>
    </row>
    <row r="50" spans="2:11" ht="15" customHeight="1" x14ac:dyDescent="0.2">
      <c r="B50" s="291" t="s">
        <v>347</v>
      </c>
      <c r="C50" s="292"/>
      <c r="D50" s="292"/>
      <c r="E50" s="292"/>
      <c r="F50" s="292"/>
      <c r="G50" s="293"/>
      <c r="H50" s="217"/>
      <c r="I50" s="218">
        <f>I70</f>
        <v>0</v>
      </c>
      <c r="J50" s="219" t="str">
        <f>IF(I54=0,"",I50/I54*100)</f>
        <v/>
      </c>
      <c r="K50" s="170"/>
    </row>
    <row r="51" spans="2:11" ht="15" customHeight="1" x14ac:dyDescent="0.2">
      <c r="B51" s="251" t="s">
        <v>346</v>
      </c>
      <c r="C51" s="252"/>
      <c r="D51" s="252"/>
      <c r="E51" s="252"/>
      <c r="F51" s="252"/>
      <c r="G51" s="253"/>
      <c r="H51" s="226"/>
      <c r="I51" s="227">
        <f>I84</f>
        <v>0</v>
      </c>
      <c r="J51" s="228" t="str">
        <f>IF(I54=0,"",I51/I54*100)</f>
        <v/>
      </c>
      <c r="K51" s="170"/>
    </row>
    <row r="52" spans="2:11" ht="15" customHeight="1" x14ac:dyDescent="0.2">
      <c r="B52" s="248" t="s">
        <v>345</v>
      </c>
      <c r="C52" s="249"/>
      <c r="D52" s="249"/>
      <c r="E52" s="249"/>
      <c r="F52" s="249"/>
      <c r="G52" s="250"/>
      <c r="H52" s="232"/>
      <c r="I52" s="233">
        <f>I98</f>
        <v>0</v>
      </c>
      <c r="J52" s="234" t="str">
        <f>IF(I54=0,"",I52/I54*100)</f>
        <v/>
      </c>
      <c r="K52" s="170"/>
    </row>
    <row r="53" spans="2:11" ht="3.95" customHeight="1" thickBot="1" x14ac:dyDescent="0.25">
      <c r="B53" s="174"/>
      <c r="C53" s="174"/>
      <c r="D53" s="174"/>
      <c r="E53" s="174"/>
      <c r="F53" s="174"/>
      <c r="G53" s="174"/>
      <c r="H53" s="169"/>
      <c r="I53" s="179"/>
      <c r="J53" s="180"/>
      <c r="K53" s="170"/>
    </row>
    <row r="54" spans="2:11" ht="25.5" customHeight="1" thickBot="1" x14ac:dyDescent="0.25">
      <c r="B54" s="294" t="s">
        <v>124</v>
      </c>
      <c r="C54" s="295"/>
      <c r="D54" s="295"/>
      <c r="E54" s="295"/>
      <c r="F54" s="295"/>
      <c r="G54" s="296"/>
      <c r="H54" s="175"/>
      <c r="I54" s="176">
        <f>I50+I52+I51</f>
        <v>0</v>
      </c>
      <c r="J54" s="177" t="e">
        <f>J50+J51+J52</f>
        <v>#VALUE!</v>
      </c>
      <c r="K54" s="170"/>
    </row>
    <row r="58" spans="2:11" ht="15.75" x14ac:dyDescent="0.25">
      <c r="B58" s="171" t="s">
        <v>348</v>
      </c>
      <c r="C58" s="172"/>
      <c r="D58" s="172"/>
      <c r="E58" s="172"/>
      <c r="F58" s="173"/>
      <c r="G58" s="173"/>
      <c r="H58" s="173"/>
      <c r="I58" s="173"/>
      <c r="J58" s="173"/>
    </row>
    <row r="59" spans="2:11" ht="3.75" customHeight="1" x14ac:dyDescent="0.2"/>
    <row r="60" spans="2:11" x14ac:dyDescent="0.2">
      <c r="B60" s="122" t="s">
        <v>17</v>
      </c>
      <c r="C60" s="122" t="s">
        <v>5</v>
      </c>
      <c r="D60" s="123"/>
      <c r="E60" s="123"/>
      <c r="F60" s="124" t="s">
        <v>50</v>
      </c>
      <c r="G60" s="124"/>
      <c r="H60" s="124"/>
      <c r="I60" s="124" t="s">
        <v>28</v>
      </c>
      <c r="J60" s="124" t="s">
        <v>0</v>
      </c>
    </row>
    <row r="61" spans="2:11" x14ac:dyDescent="0.2">
      <c r="B61" s="125" t="s">
        <v>51</v>
      </c>
      <c r="C61" s="242" t="s">
        <v>52</v>
      </c>
      <c r="D61" s="243"/>
      <c r="E61" s="243"/>
      <c r="F61" s="128" t="s">
        <v>23</v>
      </c>
      <c r="G61" s="126"/>
      <c r="H61" s="126"/>
      <c r="I61" s="126">
        <f>'SO 101 Riegrova'!G8</f>
        <v>0</v>
      </c>
      <c r="J61" s="127" t="str">
        <f>IF(I70=0,"",I61/I70*100)</f>
        <v/>
      </c>
    </row>
    <row r="62" spans="2:11" x14ac:dyDescent="0.2">
      <c r="B62" s="125" t="s">
        <v>53</v>
      </c>
      <c r="C62" s="242" t="s">
        <v>54</v>
      </c>
      <c r="D62" s="243"/>
      <c r="E62" s="243"/>
      <c r="F62" s="128" t="s">
        <v>23</v>
      </c>
      <c r="G62" s="126"/>
      <c r="H62" s="126"/>
      <c r="I62" s="126">
        <f>'SO 101 Riegrova'!G77</f>
        <v>0</v>
      </c>
      <c r="J62" s="127" t="str">
        <f>IF(I70=0,"",I62/I70*100)</f>
        <v/>
      </c>
    </row>
    <row r="63" spans="2:11" x14ac:dyDescent="0.2">
      <c r="B63" s="125" t="s">
        <v>55</v>
      </c>
      <c r="C63" s="242" t="s">
        <v>56</v>
      </c>
      <c r="D63" s="243"/>
      <c r="E63" s="243"/>
      <c r="F63" s="128" t="s">
        <v>23</v>
      </c>
      <c r="G63" s="126"/>
      <c r="H63" s="126"/>
      <c r="I63" s="126">
        <f>'SO 101 Riegrova'!G134</f>
        <v>0</v>
      </c>
      <c r="J63" s="127" t="str">
        <f>IF(I70=0,"",I63/I70*100)</f>
        <v/>
      </c>
    </row>
    <row r="64" spans="2:11" ht="24.75" customHeight="1" x14ac:dyDescent="0.2">
      <c r="B64" s="125" t="s">
        <v>120</v>
      </c>
      <c r="C64" s="242" t="s">
        <v>121</v>
      </c>
      <c r="D64" s="243"/>
      <c r="E64" s="243"/>
      <c r="F64" s="128" t="s">
        <v>23</v>
      </c>
      <c r="G64" s="126"/>
      <c r="H64" s="126"/>
      <c r="I64" s="126">
        <f>'SO 101 Riegrova'!G207</f>
        <v>0</v>
      </c>
      <c r="J64" s="127" t="str">
        <f>IF(I70=0,"",I64/I70*100)</f>
        <v/>
      </c>
    </row>
    <row r="65" spans="2:10" x14ac:dyDescent="0.2">
      <c r="B65" s="125" t="s">
        <v>141</v>
      </c>
      <c r="C65" s="242" t="s">
        <v>159</v>
      </c>
      <c r="D65" s="243"/>
      <c r="E65" s="243"/>
      <c r="F65" s="128" t="s">
        <v>23</v>
      </c>
      <c r="G65" s="126"/>
      <c r="H65" s="126"/>
      <c r="I65" s="126">
        <f>'SO 101 Riegrova'!G215</f>
        <v>0</v>
      </c>
      <c r="J65" s="127" t="str">
        <f>IF(I70=0,"",I65/I70*100)</f>
        <v/>
      </c>
    </row>
    <row r="66" spans="2:10" x14ac:dyDescent="0.2">
      <c r="B66" s="125" t="s">
        <v>144</v>
      </c>
      <c r="C66" s="242" t="s">
        <v>160</v>
      </c>
      <c r="D66" s="243"/>
      <c r="E66" s="243"/>
      <c r="F66" s="128" t="s">
        <v>23</v>
      </c>
      <c r="G66" s="126"/>
      <c r="H66" s="126"/>
      <c r="I66" s="126">
        <f>'SO 101 Riegrova'!G223</f>
        <v>0</v>
      </c>
      <c r="J66" s="127" t="str">
        <f>IF(I70=0,"",I66/I70*100)</f>
        <v/>
      </c>
    </row>
    <row r="67" spans="2:10" x14ac:dyDescent="0.2">
      <c r="B67" s="125" t="s">
        <v>57</v>
      </c>
      <c r="C67" s="242" t="s">
        <v>58</v>
      </c>
      <c r="D67" s="243"/>
      <c r="E67" s="243"/>
      <c r="F67" s="128" t="s">
        <v>59</v>
      </c>
      <c r="G67" s="126"/>
      <c r="H67" s="126"/>
      <c r="I67" s="126">
        <f>'SO 101 Riegrova'!G236</f>
        <v>0</v>
      </c>
      <c r="J67" s="127" t="str">
        <f>IF(I70=0,"",I67/I70*100)</f>
        <v/>
      </c>
    </row>
    <row r="68" spans="2:10" x14ac:dyDescent="0.2">
      <c r="B68" s="125" t="s">
        <v>60</v>
      </c>
      <c r="C68" s="242" t="s">
        <v>26</v>
      </c>
      <c r="D68" s="243"/>
      <c r="E68" s="243"/>
      <c r="F68" s="128" t="s">
        <v>60</v>
      </c>
      <c r="G68" s="126"/>
      <c r="H68" s="126"/>
      <c r="I68" s="126">
        <f>'SO 101 Riegrova'!G252</f>
        <v>0</v>
      </c>
      <c r="J68" s="127" t="str">
        <f>IF(I70=0,"",I68/I70*100)</f>
        <v/>
      </c>
    </row>
    <row r="69" spans="2:10" x14ac:dyDescent="0.2">
      <c r="B69" s="125" t="s">
        <v>61</v>
      </c>
      <c r="C69" s="242" t="s">
        <v>27</v>
      </c>
      <c r="D69" s="243"/>
      <c r="E69" s="243"/>
      <c r="F69" s="128" t="s">
        <v>61</v>
      </c>
      <c r="G69" s="126"/>
      <c r="H69" s="126"/>
      <c r="I69" s="126">
        <f>'SO 101 Riegrova'!G265</f>
        <v>0</v>
      </c>
      <c r="J69" s="127" t="str">
        <f>IF(I70=0,"",I69/I70*100)</f>
        <v/>
      </c>
    </row>
    <row r="70" spans="2:10" ht="21" customHeight="1" x14ac:dyDescent="0.2">
      <c r="B70" s="220" t="s">
        <v>1</v>
      </c>
      <c r="C70" s="221"/>
      <c r="D70" s="222"/>
      <c r="E70" s="222"/>
      <c r="F70" s="223"/>
      <c r="G70" s="224"/>
      <c r="H70" s="224"/>
      <c r="I70" s="224">
        <f>SUM(I61:I69)</f>
        <v>0</v>
      </c>
      <c r="J70" s="225">
        <f>SUM(J61:J69)</f>
        <v>0</v>
      </c>
    </row>
    <row r="72" spans="2:10" ht="15.75" x14ac:dyDescent="0.25">
      <c r="B72" s="229" t="s">
        <v>349</v>
      </c>
      <c r="C72" s="230"/>
      <c r="D72" s="230"/>
      <c r="E72" s="230"/>
      <c r="F72" s="231"/>
      <c r="G72" s="231"/>
      <c r="H72" s="231"/>
      <c r="I72" s="231"/>
      <c r="J72" s="231"/>
    </row>
    <row r="73" spans="2:10" ht="3.75" customHeight="1" x14ac:dyDescent="0.2"/>
    <row r="74" spans="2:10" x14ac:dyDescent="0.2">
      <c r="B74" s="122" t="s">
        <v>17</v>
      </c>
      <c r="C74" s="122" t="s">
        <v>5</v>
      </c>
      <c r="D74" s="123"/>
      <c r="E74" s="123"/>
      <c r="F74" s="124" t="s">
        <v>50</v>
      </c>
      <c r="G74" s="124"/>
      <c r="H74" s="124"/>
      <c r="I74" s="124" t="s">
        <v>28</v>
      </c>
      <c r="J74" s="124" t="s">
        <v>0</v>
      </c>
    </row>
    <row r="75" spans="2:10" x14ac:dyDescent="0.2">
      <c r="B75" s="125" t="s">
        <v>51</v>
      </c>
      <c r="C75" s="242" t="s">
        <v>52</v>
      </c>
      <c r="D75" s="243"/>
      <c r="E75" s="243"/>
      <c r="F75" s="128" t="s">
        <v>23</v>
      </c>
      <c r="G75" s="126"/>
      <c r="H75" s="126"/>
      <c r="I75" s="126">
        <f>'SO 102 Nádražní'!G8</f>
        <v>0</v>
      </c>
      <c r="J75" s="127" t="str">
        <f>IF(I84=0,"",I75/I84*100)</f>
        <v/>
      </c>
    </row>
    <row r="76" spans="2:10" x14ac:dyDescent="0.2">
      <c r="B76" s="125" t="s">
        <v>53</v>
      </c>
      <c r="C76" s="242" t="s">
        <v>54</v>
      </c>
      <c r="D76" s="243"/>
      <c r="E76" s="243"/>
      <c r="F76" s="128" t="s">
        <v>23</v>
      </c>
      <c r="G76" s="126"/>
      <c r="H76" s="126"/>
      <c r="I76" s="126">
        <f>'SO 102 Nádražní'!G75</f>
        <v>0</v>
      </c>
      <c r="J76" s="127" t="str">
        <f>IF(I84=0,"",I76/I84*100)</f>
        <v/>
      </c>
    </row>
    <row r="77" spans="2:10" x14ac:dyDescent="0.2">
      <c r="B77" s="125" t="s">
        <v>55</v>
      </c>
      <c r="C77" s="242" t="s">
        <v>56</v>
      </c>
      <c r="D77" s="243"/>
      <c r="E77" s="243"/>
      <c r="F77" s="128" t="s">
        <v>23</v>
      </c>
      <c r="G77" s="126"/>
      <c r="H77" s="126"/>
      <c r="I77" s="126">
        <f>'SO 102 Nádražní'!G132</f>
        <v>0</v>
      </c>
      <c r="J77" s="127" t="str">
        <f>IF(I84=0,"",I77/I84*100)</f>
        <v/>
      </c>
    </row>
    <row r="78" spans="2:10" ht="24" customHeight="1" x14ac:dyDescent="0.2">
      <c r="B78" s="125" t="s">
        <v>120</v>
      </c>
      <c r="C78" s="242" t="s">
        <v>121</v>
      </c>
      <c r="D78" s="243"/>
      <c r="E78" s="243"/>
      <c r="F78" s="128" t="s">
        <v>23</v>
      </c>
      <c r="G78" s="126"/>
      <c r="H78" s="126"/>
      <c r="I78" s="126">
        <f>'SO 102 Nádražní'!G200</f>
        <v>0</v>
      </c>
      <c r="J78" s="127" t="str">
        <f>IF(I84=0,"",I78/I84*100)</f>
        <v/>
      </c>
    </row>
    <row r="79" spans="2:10" x14ac:dyDescent="0.2">
      <c r="B79" s="125" t="s">
        <v>141</v>
      </c>
      <c r="C79" s="242" t="s">
        <v>159</v>
      </c>
      <c r="D79" s="243"/>
      <c r="E79" s="243"/>
      <c r="F79" s="128" t="s">
        <v>23</v>
      </c>
      <c r="G79" s="126"/>
      <c r="H79" s="126"/>
      <c r="I79" s="126">
        <f>'SO 102 Nádražní'!G204</f>
        <v>0</v>
      </c>
      <c r="J79" s="127" t="str">
        <f>IF(I84=0,"",I79/I84*100)</f>
        <v/>
      </c>
    </row>
    <row r="80" spans="2:10" x14ac:dyDescent="0.2">
      <c r="B80" s="125" t="s">
        <v>144</v>
      </c>
      <c r="C80" s="242" t="s">
        <v>160</v>
      </c>
      <c r="D80" s="243"/>
      <c r="E80" s="243"/>
      <c r="F80" s="128" t="s">
        <v>23</v>
      </c>
      <c r="G80" s="126"/>
      <c r="H80" s="126"/>
      <c r="I80" s="126">
        <f>'SO 102 Nádražní'!G212</f>
        <v>0</v>
      </c>
      <c r="J80" s="127" t="str">
        <f>IF(I84=0,"",I80/I84*100)</f>
        <v/>
      </c>
    </row>
    <row r="81" spans="2:10" x14ac:dyDescent="0.2">
      <c r="B81" s="125" t="s">
        <v>57</v>
      </c>
      <c r="C81" s="242" t="s">
        <v>58</v>
      </c>
      <c r="D81" s="243"/>
      <c r="E81" s="243"/>
      <c r="F81" s="128" t="s">
        <v>59</v>
      </c>
      <c r="G81" s="126"/>
      <c r="H81" s="126"/>
      <c r="I81" s="126">
        <f>'SO 102 Nádražní'!G225</f>
        <v>0</v>
      </c>
      <c r="J81" s="127" t="str">
        <f>IF(I84=0,"",I81/I84*100)</f>
        <v/>
      </c>
    </row>
    <row r="82" spans="2:10" x14ac:dyDescent="0.2">
      <c r="B82" s="125" t="s">
        <v>60</v>
      </c>
      <c r="C82" s="242" t="s">
        <v>26</v>
      </c>
      <c r="D82" s="243"/>
      <c r="E82" s="243"/>
      <c r="F82" s="128" t="s">
        <v>60</v>
      </c>
      <c r="G82" s="126"/>
      <c r="H82" s="126"/>
      <c r="I82" s="126">
        <f>'SO 102 Nádražní'!G241</f>
        <v>0</v>
      </c>
      <c r="J82" s="127" t="str">
        <f>IF(I84=0,"",I82/I84*100)</f>
        <v/>
      </c>
    </row>
    <row r="83" spans="2:10" x14ac:dyDescent="0.2">
      <c r="B83" s="125" t="s">
        <v>61</v>
      </c>
      <c r="C83" s="242" t="s">
        <v>27</v>
      </c>
      <c r="D83" s="243"/>
      <c r="E83" s="243"/>
      <c r="F83" s="128" t="s">
        <v>61</v>
      </c>
      <c r="G83" s="126"/>
      <c r="H83" s="126"/>
      <c r="I83" s="126">
        <f>'SO 102 Nádražní'!G254</f>
        <v>0</v>
      </c>
      <c r="J83" s="127" t="str">
        <f>IF(I84=0,"",I83/I84*100)</f>
        <v/>
      </c>
    </row>
    <row r="84" spans="2:10" ht="21" customHeight="1" x14ac:dyDescent="0.2">
      <c r="B84" s="220" t="s">
        <v>1</v>
      </c>
      <c r="C84" s="221"/>
      <c r="D84" s="222"/>
      <c r="E84" s="222"/>
      <c r="F84" s="223"/>
      <c r="G84" s="224"/>
      <c r="H84" s="224"/>
      <c r="I84" s="224">
        <f>SUM(I75:I83)</f>
        <v>0</v>
      </c>
      <c r="J84" s="225">
        <f>SUM(J75:J83)</f>
        <v>0</v>
      </c>
    </row>
    <row r="86" spans="2:10" ht="15.75" x14ac:dyDescent="0.25">
      <c r="B86" s="235" t="s">
        <v>344</v>
      </c>
      <c r="C86" s="236"/>
      <c r="D86" s="236"/>
      <c r="E86" s="236"/>
      <c r="F86" s="237"/>
      <c r="G86" s="237"/>
      <c r="H86" s="237"/>
      <c r="I86" s="237"/>
      <c r="J86" s="237"/>
    </row>
    <row r="87" spans="2:10" ht="3.75" customHeight="1" x14ac:dyDescent="0.2"/>
    <row r="88" spans="2:10" ht="20.25" customHeight="1" x14ac:dyDescent="0.2">
      <c r="B88" s="122" t="s">
        <v>17</v>
      </c>
      <c r="C88" s="122" t="s">
        <v>5</v>
      </c>
      <c r="D88" s="123"/>
      <c r="E88" s="123"/>
      <c r="F88" s="124" t="s">
        <v>50</v>
      </c>
      <c r="G88" s="124"/>
      <c r="H88" s="124"/>
      <c r="I88" s="124" t="s">
        <v>28</v>
      </c>
      <c r="J88" s="124" t="s">
        <v>0</v>
      </c>
    </row>
    <row r="89" spans="2:10" x14ac:dyDescent="0.2">
      <c r="B89" s="125" t="s">
        <v>51</v>
      </c>
      <c r="C89" s="242" t="s">
        <v>52</v>
      </c>
      <c r="D89" s="243"/>
      <c r="E89" s="243"/>
      <c r="F89" s="128" t="s">
        <v>23</v>
      </c>
      <c r="G89" s="126"/>
      <c r="H89" s="126"/>
      <c r="I89" s="126">
        <f>'SO 103 Poštovní'!G8</f>
        <v>0</v>
      </c>
      <c r="J89" s="127" t="str">
        <f>IF(I98=0,"",I89/I98*100)</f>
        <v/>
      </c>
    </row>
    <row r="90" spans="2:10" x14ac:dyDescent="0.2">
      <c r="B90" s="125" t="s">
        <v>53</v>
      </c>
      <c r="C90" s="242" t="s">
        <v>54</v>
      </c>
      <c r="D90" s="243"/>
      <c r="E90" s="243"/>
      <c r="F90" s="128" t="s">
        <v>23</v>
      </c>
      <c r="G90" s="126"/>
      <c r="H90" s="126"/>
      <c r="I90" s="126">
        <f>'SO 103 Poštovní'!G73</f>
        <v>0</v>
      </c>
      <c r="J90" s="127" t="str">
        <f>IF(I98=0,"",I90/I98*100)</f>
        <v/>
      </c>
    </row>
    <row r="91" spans="2:10" x14ac:dyDescent="0.2">
      <c r="B91" s="125" t="s">
        <v>55</v>
      </c>
      <c r="C91" s="242" t="s">
        <v>56</v>
      </c>
      <c r="D91" s="243"/>
      <c r="E91" s="243"/>
      <c r="F91" s="128" t="s">
        <v>23</v>
      </c>
      <c r="G91" s="126"/>
      <c r="H91" s="126"/>
      <c r="I91" s="126">
        <f>'SO 103 Poštovní'!G118</f>
        <v>0</v>
      </c>
      <c r="J91" s="127" t="str">
        <f>IF(I98=0,"",I91/I98*100)</f>
        <v/>
      </c>
    </row>
    <row r="92" spans="2:10" ht="24.6" customHeight="1" x14ac:dyDescent="0.2">
      <c r="B92" s="125" t="s">
        <v>120</v>
      </c>
      <c r="C92" s="242" t="s">
        <v>121</v>
      </c>
      <c r="D92" s="243"/>
      <c r="E92" s="243"/>
      <c r="F92" s="128" t="s">
        <v>23</v>
      </c>
      <c r="G92" s="126"/>
      <c r="H92" s="126"/>
      <c r="I92" s="126">
        <f>'SO 103 Poštovní'!G196</f>
        <v>0</v>
      </c>
      <c r="J92" s="127" t="str">
        <f>IF(I98=0,"",I92/I98*100)</f>
        <v/>
      </c>
    </row>
    <row r="93" spans="2:10" ht="13.15" customHeight="1" x14ac:dyDescent="0.2">
      <c r="B93" s="125" t="s">
        <v>141</v>
      </c>
      <c r="C93" s="242" t="s">
        <v>159</v>
      </c>
      <c r="D93" s="243"/>
      <c r="E93" s="243"/>
      <c r="F93" s="128" t="s">
        <v>23</v>
      </c>
      <c r="G93" s="126"/>
      <c r="H93" s="126"/>
      <c r="I93" s="126">
        <f>'SO 103 Poštovní'!G200</f>
        <v>0</v>
      </c>
      <c r="J93" s="127" t="str">
        <f>IF(I98=0,"",I93/I98*100)</f>
        <v/>
      </c>
    </row>
    <row r="94" spans="2:10" ht="13.15" customHeight="1" x14ac:dyDescent="0.2">
      <c r="B94" s="125" t="s">
        <v>144</v>
      </c>
      <c r="C94" s="242" t="s">
        <v>160</v>
      </c>
      <c r="D94" s="243"/>
      <c r="E94" s="243"/>
      <c r="F94" s="128" t="s">
        <v>23</v>
      </c>
      <c r="G94" s="126"/>
      <c r="H94" s="126"/>
      <c r="I94" s="126">
        <f>'SO 103 Poštovní'!G203</f>
        <v>0</v>
      </c>
      <c r="J94" s="127" t="str">
        <f>IF(I98=0,"",I94/I98*100)</f>
        <v/>
      </c>
    </row>
    <row r="95" spans="2:10" x14ac:dyDescent="0.2">
      <c r="B95" s="125" t="s">
        <v>57</v>
      </c>
      <c r="C95" s="242" t="s">
        <v>58</v>
      </c>
      <c r="D95" s="243"/>
      <c r="E95" s="243"/>
      <c r="F95" s="128" t="s">
        <v>59</v>
      </c>
      <c r="G95" s="126"/>
      <c r="H95" s="126"/>
      <c r="I95" s="126">
        <f>'SO 103 Poštovní'!G216</f>
        <v>0</v>
      </c>
      <c r="J95" s="127" t="str">
        <f>IF(I98=0,"",I95/I98*100)</f>
        <v/>
      </c>
    </row>
    <row r="96" spans="2:10" x14ac:dyDescent="0.2">
      <c r="B96" s="125" t="s">
        <v>60</v>
      </c>
      <c r="C96" s="242" t="s">
        <v>26</v>
      </c>
      <c r="D96" s="243"/>
      <c r="E96" s="243"/>
      <c r="F96" s="128" t="s">
        <v>60</v>
      </c>
      <c r="G96" s="126"/>
      <c r="H96" s="126"/>
      <c r="I96" s="126">
        <f>'SO 103 Poštovní'!G232</f>
        <v>0</v>
      </c>
      <c r="J96" s="127" t="str">
        <f>IF(I98=0,"",I96/I98*100)</f>
        <v/>
      </c>
    </row>
    <row r="97" spans="1:10" x14ac:dyDescent="0.2">
      <c r="B97" s="125" t="s">
        <v>61</v>
      </c>
      <c r="C97" s="242" t="s">
        <v>27</v>
      </c>
      <c r="D97" s="243"/>
      <c r="E97" s="243"/>
      <c r="F97" s="128" t="s">
        <v>61</v>
      </c>
      <c r="G97" s="126"/>
      <c r="H97" s="126"/>
      <c r="I97" s="126">
        <f>'SO 103 Poštovní'!G245</f>
        <v>0</v>
      </c>
      <c r="J97" s="127" t="str">
        <f>IF(I98=0,"",I97/I98*100)</f>
        <v/>
      </c>
    </row>
    <row r="98" spans="1:10" ht="21" customHeight="1" x14ac:dyDescent="0.2">
      <c r="B98" s="220" t="s">
        <v>1</v>
      </c>
      <c r="C98" s="221"/>
      <c r="D98" s="222"/>
      <c r="E98" s="222"/>
      <c r="F98" s="223"/>
      <c r="G98" s="224"/>
      <c r="H98" s="224"/>
      <c r="I98" s="224">
        <f>SUM(I89:I97)</f>
        <v>0</v>
      </c>
      <c r="J98" s="225">
        <f>SUM(J89:J97)</f>
        <v>0</v>
      </c>
    </row>
    <row r="101" spans="1:10" ht="14.25" customHeight="1" x14ac:dyDescent="0.2"/>
    <row r="102" spans="1:10" ht="14.25" customHeight="1" x14ac:dyDescent="0.2"/>
    <row r="103" spans="1:10" ht="15" customHeight="1" x14ac:dyDescent="0.2">
      <c r="A103" s="121"/>
      <c r="B103" s="166"/>
      <c r="C103" s="167"/>
      <c r="D103" s="167"/>
      <c r="E103" s="167"/>
      <c r="F103" s="168"/>
      <c r="G103" s="169"/>
      <c r="H103" s="169"/>
      <c r="I103" s="169"/>
      <c r="J103" s="170"/>
    </row>
    <row r="104" spans="1:10" x14ac:dyDescent="0.2">
      <c r="F104" s="81"/>
      <c r="G104" s="81"/>
      <c r="H104" s="81"/>
      <c r="I104" s="81"/>
      <c r="J104" s="82"/>
    </row>
  </sheetData>
  <sheetProtection algorithmName="SHA-512" hashValue="kh41o3V9xffPnFXndTjJt76fWhiFQs59J5zZ5xNiLrugNWPl7qPu9ePKBF7Uc3u0cucph5sfsEKCxNf4QWfz+Q==" saltValue="P4I9Y/jSISn2uy/ooLc8zA==" spinCount="100000" sheet="1" objects="1" scenarios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3">
    <mergeCell ref="B3:B5"/>
    <mergeCell ref="E3:H3"/>
    <mergeCell ref="E5:G5"/>
    <mergeCell ref="E4:G4"/>
    <mergeCell ref="C79:E79"/>
    <mergeCell ref="B49:G49"/>
    <mergeCell ref="B50:G50"/>
    <mergeCell ref="B54:G54"/>
    <mergeCell ref="C42:E42"/>
    <mergeCell ref="C43:E43"/>
    <mergeCell ref="C44:E44"/>
    <mergeCell ref="C45:E45"/>
    <mergeCell ref="B46:E46"/>
    <mergeCell ref="D14:G14"/>
    <mergeCell ref="E6:J6"/>
    <mergeCell ref="G18:H18"/>
    <mergeCell ref="C83:E83"/>
    <mergeCell ref="C69:E69"/>
    <mergeCell ref="C75:E75"/>
    <mergeCell ref="C76:E76"/>
    <mergeCell ref="C77:E77"/>
    <mergeCell ref="C78:E78"/>
    <mergeCell ref="C67:E67"/>
    <mergeCell ref="C68:E68"/>
    <mergeCell ref="C80:E80"/>
    <mergeCell ref="C81:E81"/>
    <mergeCell ref="C82:E82"/>
    <mergeCell ref="C62:E62"/>
    <mergeCell ref="C63:E63"/>
    <mergeCell ref="C64:E64"/>
    <mergeCell ref="C65:E65"/>
    <mergeCell ref="C66:E66"/>
    <mergeCell ref="D38:E38"/>
    <mergeCell ref="G26:I26"/>
    <mergeCell ref="G25:I25"/>
    <mergeCell ref="E21:F21"/>
    <mergeCell ref="E22:F22"/>
    <mergeCell ref="I22:J22"/>
    <mergeCell ref="I23:J23"/>
    <mergeCell ref="G21:H21"/>
    <mergeCell ref="G22:H22"/>
    <mergeCell ref="G32:I32"/>
    <mergeCell ref="G27:I27"/>
    <mergeCell ref="I21:J21"/>
    <mergeCell ref="G31:I31"/>
    <mergeCell ref="G29:I29"/>
    <mergeCell ref="E15:G15"/>
    <mergeCell ref="D7:G7"/>
    <mergeCell ref="D8:G8"/>
    <mergeCell ref="E9:G9"/>
    <mergeCell ref="C16:D16"/>
    <mergeCell ref="C93:E93"/>
    <mergeCell ref="B1:J1"/>
    <mergeCell ref="G28:I28"/>
    <mergeCell ref="G30:I30"/>
    <mergeCell ref="G20:H20"/>
    <mergeCell ref="I19:J19"/>
    <mergeCell ref="I20:J20"/>
    <mergeCell ref="E20:F20"/>
    <mergeCell ref="E2:J2"/>
    <mergeCell ref="E17:F17"/>
    <mergeCell ref="D13:G13"/>
    <mergeCell ref="G17:H17"/>
    <mergeCell ref="I17:J17"/>
    <mergeCell ref="I18:J18"/>
    <mergeCell ref="D37:E37"/>
    <mergeCell ref="G37:I37"/>
    <mergeCell ref="C94:E94"/>
    <mergeCell ref="C96:E96"/>
    <mergeCell ref="C97:E97"/>
    <mergeCell ref="G19:H19"/>
    <mergeCell ref="E18:F18"/>
    <mergeCell ref="E23:F23"/>
    <mergeCell ref="G23:H23"/>
    <mergeCell ref="E19:F19"/>
    <mergeCell ref="C92:E92"/>
    <mergeCell ref="C95:E95"/>
    <mergeCell ref="C91:E91"/>
    <mergeCell ref="B52:G52"/>
    <mergeCell ref="C89:E89"/>
    <mergeCell ref="C90:E90"/>
    <mergeCell ref="B51:G51"/>
    <mergeCell ref="C61:E6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305" t="s">
        <v>6</v>
      </c>
      <c r="B1" s="305"/>
      <c r="C1" s="306"/>
      <c r="D1" s="305"/>
      <c r="E1" s="305"/>
      <c r="F1" s="305"/>
      <c r="G1" s="305"/>
    </row>
    <row r="2" spans="1:7" ht="24.95" customHeight="1" x14ac:dyDescent="0.2">
      <c r="A2" s="49" t="s">
        <v>7</v>
      </c>
      <c r="B2" s="48"/>
      <c r="C2" s="307"/>
      <c r="D2" s="307"/>
      <c r="E2" s="307"/>
      <c r="F2" s="307"/>
      <c r="G2" s="308"/>
    </row>
    <row r="3" spans="1:7" ht="24.95" customHeight="1" x14ac:dyDescent="0.2">
      <c r="A3" s="49" t="s">
        <v>8</v>
      </c>
      <c r="B3" s="48"/>
      <c r="C3" s="307"/>
      <c r="D3" s="307"/>
      <c r="E3" s="307"/>
      <c r="F3" s="307"/>
      <c r="G3" s="308"/>
    </row>
    <row r="4" spans="1:7" ht="24.95" customHeight="1" x14ac:dyDescent="0.2">
      <c r="A4" s="49" t="s">
        <v>9</v>
      </c>
      <c r="B4" s="48"/>
      <c r="C4" s="307"/>
      <c r="D4" s="307"/>
      <c r="E4" s="307"/>
      <c r="F4" s="307"/>
      <c r="G4" s="308"/>
    </row>
    <row r="5" spans="1:7" x14ac:dyDescent="0.2">
      <c r="B5" s="4"/>
      <c r="C5" s="5"/>
      <c r="D5" s="6"/>
    </row>
  </sheetData>
  <sheetProtection password="C71F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1CB80-42EC-4345-950E-08122D4414C3}">
  <sheetPr>
    <tabColor theme="9" tint="0.59999389629810485"/>
    <outlinePr summaryBelow="0"/>
    <pageSetUpPr fitToPage="1"/>
  </sheetPr>
  <dimension ref="A1:BH5099"/>
  <sheetViews>
    <sheetView workbookViewId="0">
      <pane ySplit="7" topLeftCell="A251" activePane="bottomLeft" state="frozen"/>
      <selection pane="bottomLeft" activeCell="F275" sqref="F275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2" max="12" width="11.7109375" bestFit="1" customWidth="1"/>
    <col min="13" max="13" width="11.7109375" customWidth="1"/>
    <col min="14" max="17" width="0" hidden="1" customWidth="1"/>
    <col min="18" max="18" width="6.85546875" customWidth="1"/>
    <col min="20" max="20" width="8.42578125" customWidth="1"/>
    <col min="21" max="24" width="0" hidden="1" customWidth="1"/>
    <col min="25" max="26" width="11.7109375" bestFit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311" t="s">
        <v>62</v>
      </c>
      <c r="B1" s="312"/>
      <c r="C1" s="312"/>
      <c r="D1" s="312"/>
      <c r="E1" s="312"/>
      <c r="F1" s="312"/>
      <c r="G1" s="312"/>
      <c r="H1" s="154"/>
      <c r="L1" s="158"/>
      <c r="AG1" t="s">
        <v>63</v>
      </c>
    </row>
    <row r="2" spans="1:60" ht="24" customHeight="1" x14ac:dyDescent="0.2">
      <c r="A2" s="155" t="s">
        <v>7</v>
      </c>
      <c r="B2" s="163" t="s">
        <v>338</v>
      </c>
      <c r="C2" s="313" t="s">
        <v>340</v>
      </c>
      <c r="D2" s="314"/>
      <c r="E2" s="314"/>
      <c r="F2" s="314"/>
      <c r="G2" s="314"/>
      <c r="H2" s="315"/>
      <c r="L2" s="158"/>
      <c r="AG2" t="s">
        <v>64</v>
      </c>
    </row>
    <row r="3" spans="1:60" ht="24" customHeight="1" x14ac:dyDescent="0.2">
      <c r="A3" s="155" t="s">
        <v>8</v>
      </c>
      <c r="B3" s="163" t="s">
        <v>350</v>
      </c>
      <c r="C3" s="316" t="s">
        <v>352</v>
      </c>
      <c r="D3" s="317"/>
      <c r="E3" s="317"/>
      <c r="F3" s="317"/>
      <c r="G3" s="318"/>
      <c r="H3" s="156"/>
      <c r="L3" s="158"/>
      <c r="AC3" s="120" t="s">
        <v>64</v>
      </c>
      <c r="AG3" t="s">
        <v>65</v>
      </c>
    </row>
    <row r="4" spans="1:60" ht="24" customHeight="1" x14ac:dyDescent="0.2">
      <c r="A4" s="157" t="s">
        <v>9</v>
      </c>
      <c r="B4" s="164" t="s">
        <v>338</v>
      </c>
      <c r="C4" s="319" t="s">
        <v>341</v>
      </c>
      <c r="D4" s="320"/>
      <c r="E4" s="320"/>
      <c r="F4" s="320"/>
      <c r="G4" s="320"/>
      <c r="H4" s="321"/>
      <c r="L4" s="158"/>
      <c r="AG4" t="s">
        <v>66</v>
      </c>
    </row>
    <row r="5" spans="1:60" x14ac:dyDescent="0.2">
      <c r="D5" s="10"/>
    </row>
    <row r="6" spans="1:60" ht="38.25" x14ac:dyDescent="0.2">
      <c r="A6" s="131" t="s">
        <v>67</v>
      </c>
      <c r="B6" s="133" t="s">
        <v>68</v>
      </c>
      <c r="C6" s="133" t="s">
        <v>69</v>
      </c>
      <c r="D6" s="132" t="s">
        <v>70</v>
      </c>
      <c r="E6" s="131" t="s">
        <v>71</v>
      </c>
      <c r="F6" s="130" t="s">
        <v>72</v>
      </c>
      <c r="G6" s="131" t="s">
        <v>28</v>
      </c>
      <c r="H6" s="134" t="s">
        <v>29</v>
      </c>
      <c r="I6" s="134" t="s">
        <v>73</v>
      </c>
      <c r="J6" s="134" t="s">
        <v>30</v>
      </c>
      <c r="K6" s="134" t="s">
        <v>74</v>
      </c>
      <c r="L6" s="134" t="s">
        <v>75</v>
      </c>
      <c r="M6" s="134" t="s">
        <v>76</v>
      </c>
      <c r="N6" s="134" t="s">
        <v>77</v>
      </c>
      <c r="O6" s="134" t="s">
        <v>78</v>
      </c>
      <c r="P6" s="134" t="s">
        <v>79</v>
      </c>
      <c r="Q6" s="134" t="s">
        <v>80</v>
      </c>
      <c r="R6" s="134" t="s">
        <v>81</v>
      </c>
      <c r="S6" s="134" t="s">
        <v>82</v>
      </c>
      <c r="T6" s="134" t="s">
        <v>83</v>
      </c>
      <c r="U6" s="134" t="s">
        <v>84</v>
      </c>
      <c r="V6" s="134" t="s">
        <v>85</v>
      </c>
      <c r="W6" s="134" t="s">
        <v>86</v>
      </c>
      <c r="X6" s="134" t="s">
        <v>87</v>
      </c>
    </row>
    <row r="7" spans="1:60" hidden="1" x14ac:dyDescent="0.2">
      <c r="A7" s="3"/>
      <c r="B7" s="4"/>
      <c r="C7" s="4"/>
      <c r="D7" s="6"/>
      <c r="E7" s="136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</row>
    <row r="8" spans="1:60" x14ac:dyDescent="0.2">
      <c r="A8" s="140" t="s">
        <v>88</v>
      </c>
      <c r="B8" s="141" t="s">
        <v>51</v>
      </c>
      <c r="C8" s="147" t="s">
        <v>52</v>
      </c>
      <c r="D8" s="142"/>
      <c r="E8" s="143"/>
      <c r="F8" s="144"/>
      <c r="G8" s="144">
        <f>SUMIF(AG9:AG76,"&lt;&gt;NOR",G9:G76)</f>
        <v>0</v>
      </c>
      <c r="H8" s="144"/>
      <c r="I8" s="144">
        <f>SUM(I9:I76)</f>
        <v>2100</v>
      </c>
      <c r="J8" s="144"/>
      <c r="K8" s="144">
        <f>SUM(K9:K76)</f>
        <v>9197794.3999999985</v>
      </c>
      <c r="L8" s="144"/>
      <c r="M8" s="144">
        <f>SUM(M9:M76)</f>
        <v>0</v>
      </c>
      <c r="N8" s="144"/>
      <c r="O8" s="144">
        <f>SUM(O9:O76)</f>
        <v>0</v>
      </c>
      <c r="P8" s="144"/>
      <c r="Q8" s="144">
        <f>SUM(Q9:Q76)</f>
        <v>3907.57</v>
      </c>
      <c r="R8" s="144"/>
      <c r="S8" s="144"/>
      <c r="T8" s="145"/>
      <c r="U8" s="139"/>
      <c r="V8" s="139">
        <f>SUM(V9:V28)</f>
        <v>0</v>
      </c>
      <c r="W8" s="139"/>
      <c r="X8" s="139"/>
      <c r="Z8" s="81"/>
      <c r="AG8" t="s">
        <v>89</v>
      </c>
    </row>
    <row r="9" spans="1:60" outlineLevel="1" x14ac:dyDescent="0.2">
      <c r="A9" s="184">
        <v>1</v>
      </c>
      <c r="B9" s="185" t="s">
        <v>174</v>
      </c>
      <c r="C9" s="189" t="s">
        <v>173</v>
      </c>
      <c r="D9" s="186" t="s">
        <v>92</v>
      </c>
      <c r="E9" s="187">
        <f>E11</f>
        <v>712.8</v>
      </c>
      <c r="F9" s="188"/>
      <c r="G9" s="161">
        <f>ROUND(E9*F9,2)</f>
        <v>0</v>
      </c>
      <c r="H9" s="188">
        <v>0</v>
      </c>
      <c r="I9" s="161">
        <f>ROUND(E9*H9,2)</f>
        <v>0</v>
      </c>
      <c r="J9" s="188">
        <v>351</v>
      </c>
      <c r="K9" s="161">
        <f>ROUND(E9*J9,2)</f>
        <v>250192.8</v>
      </c>
      <c r="L9" s="161">
        <v>21</v>
      </c>
      <c r="M9" s="161">
        <f>G9*(1+L9/100)</f>
        <v>0</v>
      </c>
      <c r="N9" s="161">
        <v>0</v>
      </c>
      <c r="O9" s="161">
        <f>ROUND(E9*N9,2)</f>
        <v>0</v>
      </c>
      <c r="P9" s="161">
        <v>0.44</v>
      </c>
      <c r="Q9" s="161">
        <f>ROUND(E9*P9,2)</f>
        <v>313.63</v>
      </c>
      <c r="R9" s="161" t="s">
        <v>98</v>
      </c>
      <c r="S9" s="161" t="s">
        <v>161</v>
      </c>
      <c r="T9" s="161" t="s">
        <v>161</v>
      </c>
      <c r="U9" s="138"/>
      <c r="V9" s="138"/>
      <c r="W9" s="138"/>
      <c r="X9" s="138"/>
      <c r="Y9" s="135"/>
      <c r="Z9" s="135"/>
      <c r="AA9" s="135"/>
      <c r="AB9" s="135"/>
      <c r="AC9" s="135"/>
      <c r="AD9" s="135"/>
      <c r="AE9" s="135"/>
      <c r="AF9" s="135"/>
      <c r="AG9" s="135" t="s">
        <v>90</v>
      </c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</row>
    <row r="10" spans="1:60" outlineLevel="1" x14ac:dyDescent="0.2">
      <c r="A10" s="183"/>
      <c r="B10" s="165"/>
      <c r="C10" s="309" t="s">
        <v>169</v>
      </c>
      <c r="D10" s="310"/>
      <c r="E10" s="310"/>
      <c r="F10" s="310"/>
      <c r="G10" s="310"/>
      <c r="H10" s="190"/>
      <c r="I10" s="138"/>
      <c r="J10" s="190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</row>
    <row r="11" spans="1:60" ht="23.25" customHeight="1" outlineLevel="1" x14ac:dyDescent="0.2">
      <c r="A11" s="183"/>
      <c r="B11" s="165"/>
      <c r="C11" s="211" t="s">
        <v>419</v>
      </c>
      <c r="D11" s="212"/>
      <c r="E11" s="213">
        <f>4+1+13*2.5+2*3+6+40+20*1.5+15*3+40*2.8+40+30*1.2+20*1.5+6+40*3+20*1.5+18+80*1.5+36.3</f>
        <v>712.8</v>
      </c>
      <c r="F11" s="210"/>
      <c r="G11" s="210"/>
      <c r="H11" s="190"/>
      <c r="I11" s="138"/>
      <c r="J11" s="190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</row>
    <row r="12" spans="1:60" outlineLevel="1" x14ac:dyDescent="0.2">
      <c r="A12" s="183"/>
      <c r="B12" s="165"/>
      <c r="C12" s="322"/>
      <c r="D12" s="323"/>
      <c r="E12" s="323"/>
      <c r="F12" s="323"/>
      <c r="G12" s="323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</row>
    <row r="13" spans="1:60" ht="22.5" outlineLevel="1" x14ac:dyDescent="0.2">
      <c r="A13" s="184">
        <f>A9+1</f>
        <v>2</v>
      </c>
      <c r="B13" s="185" t="s">
        <v>163</v>
      </c>
      <c r="C13" s="189" t="s">
        <v>164</v>
      </c>
      <c r="D13" s="186" t="s">
        <v>92</v>
      </c>
      <c r="E13" s="187">
        <f>E15</f>
        <v>6519.8</v>
      </c>
      <c r="F13" s="188"/>
      <c r="G13" s="161">
        <f>ROUND(E13*F13,2)</f>
        <v>0</v>
      </c>
      <c r="H13" s="188">
        <v>0</v>
      </c>
      <c r="I13" s="161">
        <f>ROUND(E13*H13,2)</f>
        <v>0</v>
      </c>
      <c r="J13" s="188">
        <v>351</v>
      </c>
      <c r="K13" s="161">
        <f>ROUND(E13*J13,2)</f>
        <v>2288449.7999999998</v>
      </c>
      <c r="L13" s="161">
        <v>21</v>
      </c>
      <c r="M13" s="161">
        <f>G13*(1+L13/100)</f>
        <v>0</v>
      </c>
      <c r="N13" s="161">
        <v>0</v>
      </c>
      <c r="O13" s="161">
        <f>ROUND(E13*N13,2)</f>
        <v>0</v>
      </c>
      <c r="P13" s="161">
        <v>0.44</v>
      </c>
      <c r="Q13" s="161">
        <f>ROUND(E13*P13,2)</f>
        <v>2868.71</v>
      </c>
      <c r="R13" s="161" t="s">
        <v>98</v>
      </c>
      <c r="S13" s="161" t="s">
        <v>161</v>
      </c>
      <c r="T13" s="161" t="s">
        <v>161</v>
      </c>
      <c r="U13" s="138"/>
      <c r="V13" s="138"/>
      <c r="W13" s="138"/>
      <c r="X13" s="138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</row>
    <row r="14" spans="1:60" outlineLevel="1" x14ac:dyDescent="0.2">
      <c r="A14" s="183"/>
      <c r="B14" s="165"/>
      <c r="C14" s="309" t="s">
        <v>125</v>
      </c>
      <c r="D14" s="310"/>
      <c r="E14" s="310"/>
      <c r="F14" s="310"/>
      <c r="G14" s="310"/>
      <c r="H14" s="190"/>
      <c r="I14" s="138"/>
      <c r="J14" s="190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</row>
    <row r="15" spans="1:60" outlineLevel="1" x14ac:dyDescent="0.2">
      <c r="A15" s="183"/>
      <c r="B15" s="165"/>
      <c r="C15" s="211" t="s">
        <v>427</v>
      </c>
      <c r="D15" s="212"/>
      <c r="E15" s="213">
        <f>4420+300+150+712.8+247+690</f>
        <v>6519.8</v>
      </c>
      <c r="F15" s="210"/>
      <c r="G15" s="210"/>
      <c r="H15" s="190"/>
      <c r="I15" s="138"/>
      <c r="J15" s="190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</row>
    <row r="16" spans="1:60" outlineLevel="1" x14ac:dyDescent="0.2">
      <c r="A16" s="183"/>
      <c r="B16" s="165"/>
      <c r="C16" s="322"/>
      <c r="D16" s="323"/>
      <c r="E16" s="323"/>
      <c r="F16" s="323"/>
      <c r="G16" s="323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</row>
    <row r="17" spans="1:60" ht="22.5" outlineLevel="1" x14ac:dyDescent="0.2">
      <c r="A17" s="184">
        <f>A13+1</f>
        <v>3</v>
      </c>
      <c r="B17" s="185" t="s">
        <v>166</v>
      </c>
      <c r="C17" s="189" t="s">
        <v>165</v>
      </c>
      <c r="D17" s="186" t="s">
        <v>92</v>
      </c>
      <c r="E17" s="187">
        <f>E19</f>
        <v>247</v>
      </c>
      <c r="F17" s="188"/>
      <c r="G17" s="161">
        <f>ROUND(E17*F17,2)</f>
        <v>0</v>
      </c>
      <c r="H17" s="188">
        <v>0</v>
      </c>
      <c r="I17" s="161">
        <f>ROUND(E17*H17,2)</f>
        <v>0</v>
      </c>
      <c r="J17" s="188">
        <v>351</v>
      </c>
      <c r="K17" s="161">
        <f>ROUND(E17*J17,2)</f>
        <v>86697</v>
      </c>
      <c r="L17" s="161">
        <v>21</v>
      </c>
      <c r="M17" s="161">
        <f>G17*(1+L17/100)</f>
        <v>0</v>
      </c>
      <c r="N17" s="161">
        <v>0</v>
      </c>
      <c r="O17" s="161">
        <f>ROUND(E17*N17,2)</f>
        <v>0</v>
      </c>
      <c r="P17" s="161">
        <v>0.44</v>
      </c>
      <c r="Q17" s="161">
        <f>ROUND(E17*P17,2)</f>
        <v>108.68</v>
      </c>
      <c r="R17" s="161" t="s">
        <v>98</v>
      </c>
      <c r="S17" s="161" t="s">
        <v>161</v>
      </c>
      <c r="T17" s="161" t="s">
        <v>161</v>
      </c>
      <c r="U17" s="138"/>
      <c r="V17" s="138"/>
      <c r="W17" s="138"/>
      <c r="X17" s="138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</row>
    <row r="18" spans="1:60" outlineLevel="1" x14ac:dyDescent="0.2">
      <c r="A18" s="183"/>
      <c r="B18" s="165"/>
      <c r="C18" s="309" t="s">
        <v>125</v>
      </c>
      <c r="D18" s="310"/>
      <c r="E18" s="310"/>
      <c r="F18" s="310"/>
      <c r="G18" s="310"/>
      <c r="H18" s="190"/>
      <c r="I18" s="138"/>
      <c r="J18" s="190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</row>
    <row r="19" spans="1:60" outlineLevel="1" x14ac:dyDescent="0.2">
      <c r="A19" s="183"/>
      <c r="B19" s="165"/>
      <c r="C19" s="211" t="s">
        <v>420</v>
      </c>
      <c r="D19" s="212"/>
      <c r="E19" s="213">
        <f>90+25*3.5+3*6+3.5*7+5+3*5+7</f>
        <v>247</v>
      </c>
      <c r="F19" s="210"/>
      <c r="G19" s="210"/>
      <c r="H19" s="190"/>
      <c r="I19" s="138"/>
      <c r="J19" s="190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</row>
    <row r="20" spans="1:60" outlineLevel="1" x14ac:dyDescent="0.2">
      <c r="A20" s="183"/>
      <c r="B20" s="165"/>
      <c r="C20" s="195"/>
      <c r="D20" s="196"/>
      <c r="E20" s="196"/>
      <c r="F20" s="196"/>
      <c r="G20" s="196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</row>
    <row r="21" spans="1:60" ht="22.5" outlineLevel="1" x14ac:dyDescent="0.2">
      <c r="A21" s="184">
        <f>A17+1</f>
        <v>4</v>
      </c>
      <c r="B21" s="185" t="s">
        <v>168</v>
      </c>
      <c r="C21" s="189" t="s">
        <v>167</v>
      </c>
      <c r="D21" s="186" t="s">
        <v>92</v>
      </c>
      <c r="E21" s="187">
        <f>E23</f>
        <v>4708</v>
      </c>
      <c r="F21" s="188"/>
      <c r="G21" s="161">
        <f>ROUND(E21*F21,2)</f>
        <v>0</v>
      </c>
      <c r="H21" s="188">
        <v>0</v>
      </c>
      <c r="I21" s="161">
        <f>ROUND(E21*H21,2)</f>
        <v>0</v>
      </c>
      <c r="J21" s="188">
        <v>111</v>
      </c>
      <c r="K21" s="161">
        <f>ROUND(E21*J21,2)</f>
        <v>522588</v>
      </c>
      <c r="L21" s="161">
        <v>21</v>
      </c>
      <c r="M21" s="161">
        <f>G21*(1+L21/100)</f>
        <v>0</v>
      </c>
      <c r="N21" s="161">
        <v>0</v>
      </c>
      <c r="O21" s="161">
        <f>ROUND(E21*N21,2)</f>
        <v>0</v>
      </c>
      <c r="P21" s="161">
        <v>0.11</v>
      </c>
      <c r="Q21" s="161">
        <f>ROUND(E21*P21,2)</f>
        <v>517.88</v>
      </c>
      <c r="R21" s="161" t="s">
        <v>98</v>
      </c>
      <c r="S21" s="161" t="s">
        <v>161</v>
      </c>
      <c r="T21" s="161" t="s">
        <v>161</v>
      </c>
      <c r="U21" s="138"/>
      <c r="V21" s="138"/>
      <c r="W21" s="138"/>
      <c r="X21" s="138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</row>
    <row r="22" spans="1:60" outlineLevel="1" x14ac:dyDescent="0.2">
      <c r="A22" s="183"/>
      <c r="B22" s="165"/>
      <c r="C22" s="309" t="s">
        <v>125</v>
      </c>
      <c r="D22" s="310"/>
      <c r="E22" s="310"/>
      <c r="F22" s="310"/>
      <c r="G22" s="310"/>
      <c r="H22" s="190"/>
      <c r="I22" s="138"/>
      <c r="J22" s="190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</row>
    <row r="23" spans="1:60" outlineLevel="1" x14ac:dyDescent="0.2">
      <c r="A23" s="183"/>
      <c r="B23" s="165"/>
      <c r="C23" s="211" t="s">
        <v>421</v>
      </c>
      <c r="D23" s="212"/>
      <c r="E23" s="213">
        <f>4420+288</f>
        <v>4708</v>
      </c>
      <c r="F23" s="191"/>
      <c r="G23" s="138"/>
      <c r="H23" s="190"/>
      <c r="I23" s="138"/>
      <c r="J23" s="190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</row>
    <row r="24" spans="1:60" outlineLevel="1" x14ac:dyDescent="0.2">
      <c r="A24" s="183"/>
      <c r="B24" s="165"/>
      <c r="C24" s="195"/>
      <c r="D24" s="196"/>
      <c r="E24" s="196"/>
      <c r="F24" s="196"/>
      <c r="G24" s="196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</row>
    <row r="25" spans="1:60" outlineLevel="1" x14ac:dyDescent="0.2">
      <c r="A25" s="184">
        <f>A21+1</f>
        <v>5</v>
      </c>
      <c r="B25" s="185" t="s">
        <v>176</v>
      </c>
      <c r="C25" s="189" t="s">
        <v>175</v>
      </c>
      <c r="D25" s="186" t="s">
        <v>102</v>
      </c>
      <c r="E25" s="187">
        <f>E27</f>
        <v>448.5</v>
      </c>
      <c r="F25" s="188"/>
      <c r="G25" s="161">
        <f>ROUND(E25*F25,2)</f>
        <v>0</v>
      </c>
      <c r="H25" s="188">
        <v>0</v>
      </c>
      <c r="I25" s="161">
        <f>ROUND(E25*H25,2)</f>
        <v>0</v>
      </c>
      <c r="J25" s="188">
        <v>115</v>
      </c>
      <c r="K25" s="161">
        <f>ROUND(E25*J25,2)</f>
        <v>51577.5</v>
      </c>
      <c r="L25" s="161">
        <v>21</v>
      </c>
      <c r="M25" s="161">
        <f>G25*(1+L25/100)</f>
        <v>0</v>
      </c>
      <c r="N25" s="161">
        <v>0</v>
      </c>
      <c r="O25" s="161">
        <f>ROUND(E25*N25,2)</f>
        <v>0</v>
      </c>
      <c r="P25" s="161">
        <v>0.22</v>
      </c>
      <c r="Q25" s="161">
        <f>ROUND(E25*P25,2)</f>
        <v>98.67</v>
      </c>
      <c r="R25" s="161" t="s">
        <v>98</v>
      </c>
      <c r="S25" s="161" t="s">
        <v>161</v>
      </c>
      <c r="T25" s="161" t="s">
        <v>161</v>
      </c>
      <c r="U25" s="138"/>
      <c r="V25" s="138"/>
      <c r="W25" s="138"/>
      <c r="X25" s="138"/>
      <c r="Y25" s="135"/>
      <c r="Z25" s="135"/>
      <c r="AA25" s="135"/>
      <c r="AB25" s="135"/>
      <c r="AC25" s="135"/>
      <c r="AD25" s="135"/>
      <c r="AE25" s="135"/>
      <c r="AF25" s="135"/>
      <c r="AG25" s="135" t="s">
        <v>101</v>
      </c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</row>
    <row r="26" spans="1:60" ht="13.5" customHeight="1" outlineLevel="1" x14ac:dyDescent="0.2">
      <c r="A26" s="183"/>
      <c r="B26" s="165"/>
      <c r="C26" s="309" t="s">
        <v>126</v>
      </c>
      <c r="D26" s="310"/>
      <c r="E26" s="310"/>
      <c r="F26" s="310"/>
      <c r="G26" s="310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5"/>
      <c r="Z26" s="135"/>
      <c r="AA26" s="135"/>
      <c r="AB26" s="135"/>
      <c r="AC26" s="135"/>
      <c r="AD26" s="135"/>
      <c r="AE26" s="135"/>
      <c r="AF26" s="135"/>
      <c r="AG26" s="135" t="s">
        <v>90</v>
      </c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</row>
    <row r="27" spans="1:60" ht="13.5" customHeight="1" outlineLevel="1" x14ac:dyDescent="0.2">
      <c r="A27" s="183"/>
      <c r="B27" s="165"/>
      <c r="C27" s="211" t="s">
        <v>422</v>
      </c>
      <c r="D27" s="212"/>
      <c r="E27" s="213">
        <f>90+40+20+19+18.5+39+28+31+155+8</f>
        <v>448.5</v>
      </c>
      <c r="F27" s="210"/>
      <c r="G27" s="210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</row>
    <row r="28" spans="1:60" outlineLevel="1" x14ac:dyDescent="0.2">
      <c r="A28" s="183"/>
      <c r="B28" s="165"/>
      <c r="C28" s="195"/>
      <c r="D28" s="196"/>
      <c r="E28" s="196"/>
      <c r="F28" s="196"/>
      <c r="G28" s="196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>
        <v>0.06</v>
      </c>
      <c r="V28" s="138">
        <f>ROUND(E28*U28,2)</f>
        <v>0</v>
      </c>
      <c r="W28" s="138"/>
      <c r="X28" s="138" t="s">
        <v>99</v>
      </c>
      <c r="Y28" s="135"/>
      <c r="Z28" s="135"/>
      <c r="AA28" s="135"/>
      <c r="AB28" s="135"/>
      <c r="AC28" s="135"/>
      <c r="AD28" s="135"/>
      <c r="AE28" s="135"/>
      <c r="AF28" s="135"/>
      <c r="AG28" s="135" t="s">
        <v>100</v>
      </c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</row>
    <row r="29" spans="1:60" ht="12.75" customHeight="1" outlineLevel="1" x14ac:dyDescent="0.2">
      <c r="A29" s="184">
        <f>A25+1</f>
        <v>6</v>
      </c>
      <c r="B29" s="185" t="s">
        <v>183</v>
      </c>
      <c r="C29" s="189" t="s">
        <v>182</v>
      </c>
      <c r="D29" s="186" t="s">
        <v>104</v>
      </c>
      <c r="E29" s="187">
        <f>E31</f>
        <v>17.280000000000005</v>
      </c>
      <c r="F29" s="188"/>
      <c r="G29" s="161">
        <f>ROUND(E29*F29,2)</f>
        <v>0</v>
      </c>
      <c r="H29" s="188">
        <v>0</v>
      </c>
      <c r="I29" s="161">
        <f>ROUND(E29*H29,2)</f>
        <v>0</v>
      </c>
      <c r="J29" s="188">
        <v>695</v>
      </c>
      <c r="K29" s="161">
        <f>ROUND(E29*J29,2)</f>
        <v>12009.6</v>
      </c>
      <c r="L29" s="161">
        <v>21</v>
      </c>
      <c r="M29" s="161">
        <f>G29*(1+L29/100)</f>
        <v>0</v>
      </c>
      <c r="N29" s="187">
        <v>0</v>
      </c>
      <c r="O29" s="187">
        <f>ROUND(E29*N29,2)</f>
        <v>0</v>
      </c>
      <c r="P29" s="187">
        <v>0</v>
      </c>
      <c r="Q29" s="187">
        <f>ROUND(E29*P29,2)</f>
        <v>0</v>
      </c>
      <c r="R29" s="161" t="s">
        <v>103</v>
      </c>
      <c r="S29" s="161" t="s">
        <v>161</v>
      </c>
      <c r="T29" s="161" t="s">
        <v>161</v>
      </c>
      <c r="U29" s="138"/>
      <c r="V29" s="138"/>
      <c r="W29" s="138"/>
      <c r="X29" s="138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</row>
    <row r="30" spans="1:60" ht="24" customHeight="1" outlineLevel="1" x14ac:dyDescent="0.2">
      <c r="A30" s="183"/>
      <c r="B30" s="165"/>
      <c r="C30" s="309" t="s">
        <v>127</v>
      </c>
      <c r="D30" s="310"/>
      <c r="E30" s="310"/>
      <c r="F30" s="310"/>
      <c r="G30" s="310"/>
      <c r="H30" s="138"/>
      <c r="I30" s="138"/>
      <c r="J30" s="138"/>
      <c r="K30" s="138"/>
      <c r="L30" s="138"/>
      <c r="M30" s="138"/>
      <c r="N30" s="193"/>
      <c r="O30" s="193"/>
      <c r="P30" s="193"/>
      <c r="Q30" s="193"/>
      <c r="R30" s="138"/>
      <c r="S30" s="138"/>
      <c r="T30" s="138"/>
      <c r="U30" s="138"/>
      <c r="V30" s="138"/>
      <c r="W30" s="138"/>
      <c r="X30" s="138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</row>
    <row r="31" spans="1:60" outlineLevel="1" x14ac:dyDescent="0.2">
      <c r="A31" s="183"/>
      <c r="B31" s="165"/>
      <c r="C31" s="211" t="s">
        <v>423</v>
      </c>
      <c r="D31" s="212"/>
      <c r="E31" s="213">
        <f>0.8*0.8*1*27</f>
        <v>17.280000000000005</v>
      </c>
      <c r="F31" s="210"/>
      <c r="G31" s="210"/>
      <c r="H31" s="138"/>
      <c r="I31" s="138"/>
      <c r="J31" s="138"/>
      <c r="K31" s="138"/>
      <c r="L31" s="138"/>
      <c r="M31" s="138"/>
      <c r="N31" s="193"/>
      <c r="O31" s="193"/>
      <c r="P31" s="193"/>
      <c r="Q31" s="193"/>
      <c r="R31" s="138"/>
      <c r="S31" s="138"/>
      <c r="T31" s="138"/>
      <c r="U31" s="138"/>
      <c r="V31" s="138"/>
      <c r="W31" s="138"/>
      <c r="X31" s="138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</row>
    <row r="32" spans="1:60" outlineLevel="1" x14ac:dyDescent="0.2">
      <c r="A32" s="183"/>
      <c r="B32" s="165"/>
      <c r="C32" s="195"/>
      <c r="D32" s="196"/>
      <c r="E32" s="196"/>
      <c r="F32" s="196"/>
      <c r="G32" s="196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</row>
    <row r="33" spans="1:60" ht="22.5" outlineLevel="1" x14ac:dyDescent="0.2">
      <c r="A33" s="184">
        <v>7</v>
      </c>
      <c r="B33" s="185" t="s">
        <v>181</v>
      </c>
      <c r="C33" s="189" t="s">
        <v>180</v>
      </c>
      <c r="D33" s="186" t="s">
        <v>104</v>
      </c>
      <c r="E33" s="187">
        <f>E35+E37+E36</f>
        <v>1488.692</v>
      </c>
      <c r="F33" s="188"/>
      <c r="G33" s="161">
        <f>ROUND(E33*F33,2)</f>
        <v>0</v>
      </c>
      <c r="H33" s="188">
        <v>0</v>
      </c>
      <c r="I33" s="161">
        <f>ROUND(E33*H33,2)</f>
        <v>0</v>
      </c>
      <c r="J33" s="188">
        <v>695</v>
      </c>
      <c r="K33" s="161">
        <f>ROUND(E33*J33,2)</f>
        <v>1034640.94</v>
      </c>
      <c r="L33" s="161">
        <v>21</v>
      </c>
      <c r="M33" s="161">
        <f>G33*(1+L33/100)</f>
        <v>0</v>
      </c>
      <c r="N33" s="187">
        <v>0</v>
      </c>
      <c r="O33" s="187">
        <f>ROUND(E33*N33,2)</f>
        <v>0</v>
      </c>
      <c r="P33" s="187">
        <v>0</v>
      </c>
      <c r="Q33" s="187">
        <f>ROUND(E33*P33,2)</f>
        <v>0</v>
      </c>
      <c r="R33" s="161" t="s">
        <v>103</v>
      </c>
      <c r="S33" s="161" t="s">
        <v>161</v>
      </c>
      <c r="T33" s="161" t="s">
        <v>161</v>
      </c>
      <c r="U33" s="138"/>
      <c r="V33" s="138"/>
      <c r="W33" s="138"/>
      <c r="X33" s="138"/>
      <c r="Y33" s="135"/>
      <c r="Z33" s="135"/>
      <c r="AA33" s="135"/>
      <c r="AB33" s="135"/>
      <c r="AC33" s="135"/>
      <c r="AD33" s="135"/>
      <c r="AE33" s="135"/>
      <c r="AF33" s="135"/>
      <c r="AG33" s="135" t="s">
        <v>90</v>
      </c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</row>
    <row r="34" spans="1:60" ht="24" customHeight="1" outlineLevel="1" x14ac:dyDescent="0.2">
      <c r="A34" s="183"/>
      <c r="B34" s="165"/>
      <c r="C34" s="309" t="s">
        <v>127</v>
      </c>
      <c r="D34" s="310"/>
      <c r="E34" s="310"/>
      <c r="F34" s="310"/>
      <c r="G34" s="310"/>
      <c r="H34" s="138"/>
      <c r="I34" s="138"/>
      <c r="J34" s="138"/>
      <c r="K34" s="138"/>
      <c r="L34" s="138"/>
      <c r="M34" s="138"/>
      <c r="N34" s="193"/>
      <c r="O34" s="193"/>
      <c r="P34" s="193"/>
      <c r="Q34" s="193"/>
      <c r="R34" s="138"/>
      <c r="S34" s="138"/>
      <c r="T34" s="138"/>
      <c r="U34" s="138"/>
      <c r="V34" s="138"/>
      <c r="W34" s="138"/>
      <c r="X34" s="138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</row>
    <row r="35" spans="1:60" ht="12.6" customHeight="1" outlineLevel="1" x14ac:dyDescent="0.2">
      <c r="A35" s="183"/>
      <c r="B35" s="165"/>
      <c r="C35" s="211" t="s">
        <v>424</v>
      </c>
      <c r="D35" s="212"/>
      <c r="E35" s="213">
        <f>(1035+690+77-712.8)*0.41</f>
        <v>446.572</v>
      </c>
      <c r="F35" s="210"/>
      <c r="G35" s="210"/>
      <c r="H35" s="138"/>
      <c r="I35" s="138"/>
      <c r="J35" s="138"/>
      <c r="K35" s="138"/>
      <c r="L35" s="138"/>
      <c r="M35" s="138"/>
      <c r="N35" s="193"/>
      <c r="O35" s="193"/>
      <c r="P35" s="193"/>
      <c r="Q35" s="193"/>
      <c r="R35" s="138"/>
      <c r="S35" s="138"/>
      <c r="T35" s="138"/>
      <c r="U35" s="138"/>
      <c r="V35" s="138"/>
      <c r="W35" s="138"/>
      <c r="X35" s="138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</row>
    <row r="36" spans="1:60" ht="12.6" customHeight="1" outlineLevel="1" x14ac:dyDescent="0.2">
      <c r="A36" s="183"/>
      <c r="B36" s="165"/>
      <c r="C36" s="211" t="s">
        <v>425</v>
      </c>
      <c r="D36" s="212"/>
      <c r="E36" s="213">
        <f>(490-108)*0.41</f>
        <v>156.62</v>
      </c>
      <c r="F36" s="210"/>
      <c r="G36" s="210"/>
      <c r="H36" s="138"/>
      <c r="I36" s="138"/>
      <c r="J36" s="138"/>
      <c r="K36" s="138"/>
      <c r="L36" s="138"/>
      <c r="M36" s="138"/>
      <c r="N36" s="193"/>
      <c r="O36" s="193"/>
      <c r="P36" s="193"/>
      <c r="Q36" s="193"/>
      <c r="R36" s="138"/>
      <c r="S36" s="138"/>
      <c r="T36" s="138"/>
      <c r="U36" s="138"/>
      <c r="V36" s="138"/>
      <c r="W36" s="138"/>
      <c r="X36" s="138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</row>
    <row r="37" spans="1:60" ht="12.75" customHeight="1" outlineLevel="1" x14ac:dyDescent="0.2">
      <c r="A37" s="183"/>
      <c r="B37" s="165"/>
      <c r="C37" s="211" t="s">
        <v>426</v>
      </c>
      <c r="D37" s="212"/>
      <c r="E37" s="213">
        <f>(4420+150+490)*0.35/2</f>
        <v>885.5</v>
      </c>
      <c r="F37" s="210"/>
      <c r="G37" s="210"/>
      <c r="H37" s="138"/>
      <c r="I37" s="138"/>
      <c r="J37" s="138"/>
      <c r="K37" s="138"/>
      <c r="L37" s="138"/>
      <c r="M37" s="138"/>
      <c r="N37" s="193"/>
      <c r="O37" s="193"/>
      <c r="P37" s="193"/>
      <c r="Q37" s="193"/>
      <c r="R37" s="138"/>
      <c r="S37" s="138"/>
      <c r="T37" s="138"/>
      <c r="U37" s="138"/>
      <c r="V37" s="138"/>
      <c r="W37" s="138"/>
      <c r="X37" s="138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</row>
    <row r="38" spans="1:60" outlineLevel="1" x14ac:dyDescent="0.2">
      <c r="A38" s="183"/>
      <c r="B38" s="165"/>
      <c r="C38" s="195"/>
      <c r="D38" s="196"/>
      <c r="E38" s="196"/>
      <c r="F38" s="196"/>
      <c r="G38" s="196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  <c r="X38" s="138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</row>
    <row r="39" spans="1:60" ht="22.5" outlineLevel="1" x14ac:dyDescent="0.2">
      <c r="A39" s="184">
        <v>8</v>
      </c>
      <c r="B39" s="185" t="s">
        <v>186</v>
      </c>
      <c r="C39" s="189" t="s">
        <v>184</v>
      </c>
      <c r="D39" s="186" t="s">
        <v>104</v>
      </c>
      <c r="E39" s="187">
        <f>E41</f>
        <v>30</v>
      </c>
      <c r="F39" s="188"/>
      <c r="G39" s="161">
        <f>ROUND(E39*F39,2)</f>
        <v>0</v>
      </c>
      <c r="H39" s="188">
        <v>0</v>
      </c>
      <c r="I39" s="161">
        <f>ROUND(E39*H39,2)</f>
        <v>0</v>
      </c>
      <c r="J39" s="188">
        <v>695</v>
      </c>
      <c r="K39" s="161">
        <f>ROUND(E39*J39,2)</f>
        <v>20850</v>
      </c>
      <c r="L39" s="161">
        <v>21</v>
      </c>
      <c r="M39" s="161">
        <f>G39*(1+L39/100)</f>
        <v>0</v>
      </c>
      <c r="N39" s="187">
        <v>0</v>
      </c>
      <c r="O39" s="187">
        <f>ROUND(E39*N39,2)</f>
        <v>0</v>
      </c>
      <c r="P39" s="187">
        <v>0</v>
      </c>
      <c r="Q39" s="187">
        <f>ROUND(E39*P39,2)</f>
        <v>0</v>
      </c>
      <c r="R39" s="161" t="s">
        <v>103</v>
      </c>
      <c r="S39" s="161" t="s">
        <v>161</v>
      </c>
      <c r="T39" s="161" t="s">
        <v>161</v>
      </c>
      <c r="U39" s="138"/>
      <c r="V39" s="138"/>
      <c r="W39" s="138"/>
      <c r="X39" s="138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</row>
    <row r="40" spans="1:60" ht="12.75" customHeight="1" outlineLevel="1" x14ac:dyDescent="0.2">
      <c r="A40" s="183"/>
      <c r="B40" s="165"/>
      <c r="C40" s="309" t="s">
        <v>127</v>
      </c>
      <c r="D40" s="310"/>
      <c r="E40" s="310"/>
      <c r="F40" s="310"/>
      <c r="G40" s="310"/>
      <c r="H40" s="138"/>
      <c r="I40" s="138"/>
      <c r="J40" s="138"/>
      <c r="K40" s="138"/>
      <c r="L40" s="138"/>
      <c r="M40" s="138"/>
      <c r="N40" s="193"/>
      <c r="O40" s="193"/>
      <c r="P40" s="193"/>
      <c r="Q40" s="193"/>
      <c r="R40" s="138"/>
      <c r="S40" s="138"/>
      <c r="T40" s="138"/>
      <c r="U40" s="138"/>
      <c r="V40" s="138"/>
      <c r="W40" s="138"/>
      <c r="X40" s="138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</row>
    <row r="41" spans="1:60" outlineLevel="1" x14ac:dyDescent="0.2">
      <c r="A41" s="183"/>
      <c r="B41" s="165"/>
      <c r="C41" s="324" t="s">
        <v>428</v>
      </c>
      <c r="D41" s="324"/>
      <c r="E41" s="213">
        <f>40*0.5*1.5</f>
        <v>30</v>
      </c>
      <c r="F41" s="210"/>
      <c r="G41" s="210"/>
      <c r="H41" s="138"/>
      <c r="I41" s="138"/>
      <c r="J41" s="138"/>
      <c r="K41" s="138"/>
      <c r="L41" s="138"/>
      <c r="M41" s="138"/>
      <c r="N41" s="193"/>
      <c r="O41" s="193"/>
      <c r="P41" s="193"/>
      <c r="Q41" s="193"/>
      <c r="R41" s="138"/>
      <c r="S41" s="138"/>
      <c r="T41" s="138"/>
      <c r="U41" s="138"/>
      <c r="V41" s="138"/>
      <c r="W41" s="138"/>
      <c r="X41" s="138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</row>
    <row r="42" spans="1:60" outlineLevel="1" x14ac:dyDescent="0.2">
      <c r="A42" s="183"/>
      <c r="B42" s="165"/>
      <c r="C42" s="195"/>
      <c r="D42" s="196"/>
      <c r="E42" s="196"/>
      <c r="F42" s="196"/>
      <c r="G42" s="196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</row>
    <row r="43" spans="1:60" x14ac:dyDescent="0.2">
      <c r="A43" s="184">
        <f>A39+1</f>
        <v>9</v>
      </c>
      <c r="B43" s="185" t="s">
        <v>193</v>
      </c>
      <c r="C43" s="189" t="s">
        <v>192</v>
      </c>
      <c r="D43" s="186" t="s">
        <v>104</v>
      </c>
      <c r="E43" s="187">
        <f>E45+E47+E48+E46</f>
        <v>1515.9720000000002</v>
      </c>
      <c r="F43" s="188"/>
      <c r="G43" s="161">
        <f>ROUND(E43*F43,2)</f>
        <v>0</v>
      </c>
      <c r="H43" s="188">
        <v>0</v>
      </c>
      <c r="I43" s="161">
        <f>ROUND(E43*H43,2)</f>
        <v>0</v>
      </c>
      <c r="J43" s="188">
        <v>259.5</v>
      </c>
      <c r="K43" s="161">
        <f>ROUND(E43*J43,2)</f>
        <v>393394.73</v>
      </c>
      <c r="L43" s="161">
        <v>21</v>
      </c>
      <c r="M43" s="161">
        <f>G43*(1+L43/100)</f>
        <v>0</v>
      </c>
      <c r="N43" s="161">
        <v>0</v>
      </c>
      <c r="O43" s="161">
        <f>ROUND(E43*N43,2)</f>
        <v>0</v>
      </c>
      <c r="P43" s="161">
        <v>0</v>
      </c>
      <c r="Q43" s="161">
        <f>ROUND(E43*P43,2)</f>
        <v>0</v>
      </c>
      <c r="R43" s="161" t="s">
        <v>103</v>
      </c>
      <c r="S43" s="161" t="s">
        <v>161</v>
      </c>
      <c r="T43" s="161" t="s">
        <v>161</v>
      </c>
      <c r="U43" s="139"/>
      <c r="V43" s="139"/>
      <c r="W43" s="139"/>
      <c r="X43" s="139"/>
    </row>
    <row r="44" spans="1:60" outlineLevel="1" x14ac:dyDescent="0.2">
      <c r="A44" s="183"/>
      <c r="B44" s="165"/>
      <c r="C44" s="309" t="s">
        <v>128</v>
      </c>
      <c r="D44" s="310"/>
      <c r="E44" s="310"/>
      <c r="F44" s="310"/>
      <c r="G44" s="310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</row>
    <row r="45" spans="1:60" outlineLevel="1" x14ac:dyDescent="0.2">
      <c r="A45" s="183"/>
      <c r="B45" s="165"/>
      <c r="C45" s="211" t="s">
        <v>424</v>
      </c>
      <c r="D45" s="212"/>
      <c r="E45" s="213">
        <f>(1035+690+77-712.8)*0.41</f>
        <v>446.572</v>
      </c>
      <c r="F45" s="210"/>
      <c r="G45" s="210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</row>
    <row r="46" spans="1:60" outlineLevel="1" x14ac:dyDescent="0.2">
      <c r="A46" s="183"/>
      <c r="B46" s="165"/>
      <c r="C46" s="211" t="s">
        <v>425</v>
      </c>
      <c r="D46" s="212"/>
      <c r="E46" s="213">
        <f>(490-108)*0.41</f>
        <v>156.62</v>
      </c>
      <c r="F46" s="210"/>
      <c r="G46" s="210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</row>
    <row r="47" spans="1:60" outlineLevel="1" x14ac:dyDescent="0.2">
      <c r="A47" s="183"/>
      <c r="B47" s="165"/>
      <c r="C47" s="211" t="s">
        <v>426</v>
      </c>
      <c r="D47" s="212"/>
      <c r="E47" s="213">
        <f>(4420+150+490)*0.35/2</f>
        <v>885.5</v>
      </c>
      <c r="F47" s="210"/>
      <c r="G47" s="210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</row>
    <row r="48" spans="1:60" outlineLevel="1" x14ac:dyDescent="0.2">
      <c r="A48" s="183"/>
      <c r="B48" s="165"/>
      <c r="C48" s="324" t="s">
        <v>430</v>
      </c>
      <c r="D48" s="324"/>
      <c r="E48" s="213">
        <f>E31+E41-E55</f>
        <v>27.28</v>
      </c>
      <c r="F48" s="210"/>
      <c r="G48" s="210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</row>
    <row r="49" spans="1:60" outlineLevel="1" x14ac:dyDescent="0.2">
      <c r="A49" s="183"/>
      <c r="B49" s="165"/>
      <c r="C49" s="195"/>
      <c r="D49" s="196"/>
      <c r="E49" s="196"/>
      <c r="F49" s="196"/>
      <c r="G49" s="196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</row>
    <row r="50" spans="1:60" ht="22.5" outlineLevel="1" x14ac:dyDescent="0.2">
      <c r="A50" s="184">
        <f>A43+1</f>
        <v>10</v>
      </c>
      <c r="B50" s="185" t="s">
        <v>197</v>
      </c>
      <c r="C50" s="189" t="s">
        <v>194</v>
      </c>
      <c r="D50" s="186" t="s">
        <v>104</v>
      </c>
      <c r="E50" s="187">
        <f>E51</f>
        <v>15159.720000000001</v>
      </c>
      <c r="F50" s="188"/>
      <c r="G50" s="161">
        <f>ROUND(E50*F50,2)</f>
        <v>0</v>
      </c>
      <c r="H50" s="188">
        <v>0</v>
      </c>
      <c r="I50" s="161">
        <f>ROUND(E50*H50,2)</f>
        <v>0</v>
      </c>
      <c r="J50" s="188">
        <v>259.5</v>
      </c>
      <c r="K50" s="161">
        <f>ROUND(E50*J50,2)</f>
        <v>3933947.34</v>
      </c>
      <c r="L50" s="161">
        <v>21</v>
      </c>
      <c r="M50" s="161">
        <f>G50*(1+L50/100)</f>
        <v>0</v>
      </c>
      <c r="N50" s="161">
        <v>0</v>
      </c>
      <c r="O50" s="161">
        <f>ROUND(E50*N50,2)</f>
        <v>0</v>
      </c>
      <c r="P50" s="161">
        <v>0</v>
      </c>
      <c r="Q50" s="161">
        <f>ROUND(E50*P50,2)</f>
        <v>0</v>
      </c>
      <c r="R50" s="161" t="s">
        <v>103</v>
      </c>
      <c r="S50" s="161" t="s">
        <v>161</v>
      </c>
      <c r="T50" s="161" t="s">
        <v>161</v>
      </c>
      <c r="U50" s="138"/>
      <c r="V50" s="138"/>
      <c r="W50" s="138"/>
      <c r="X50" s="138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</row>
    <row r="51" spans="1:60" outlineLevel="1" x14ac:dyDescent="0.2">
      <c r="A51" s="183"/>
      <c r="B51" s="165"/>
      <c r="C51" s="324" t="s">
        <v>431</v>
      </c>
      <c r="D51" s="324"/>
      <c r="E51" s="213">
        <f>E43*10</f>
        <v>15159.720000000001</v>
      </c>
      <c r="F51" s="210"/>
      <c r="G51" s="210"/>
      <c r="H51" s="138"/>
      <c r="I51" s="138"/>
      <c r="J51" s="138"/>
      <c r="K51" s="138"/>
      <c r="L51" s="138"/>
      <c r="M51" s="138"/>
      <c r="N51" s="138"/>
      <c r="O51" s="138"/>
      <c r="P51" s="138"/>
      <c r="Q51" s="138"/>
      <c r="R51" s="138"/>
      <c r="S51" s="138"/>
      <c r="T51" s="138"/>
      <c r="U51" s="138"/>
      <c r="V51" s="138"/>
      <c r="W51" s="138"/>
      <c r="X51" s="138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</row>
    <row r="52" spans="1:60" outlineLevel="1" x14ac:dyDescent="0.2">
      <c r="A52" s="183"/>
      <c r="B52" s="165"/>
      <c r="C52" s="195"/>
      <c r="D52" s="196"/>
      <c r="E52" s="196"/>
      <c r="F52" s="196"/>
      <c r="G52" s="196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</row>
    <row r="53" spans="1:60" outlineLevel="1" x14ac:dyDescent="0.2">
      <c r="A53" s="184">
        <f>A50+1</f>
        <v>11</v>
      </c>
      <c r="B53" s="185" t="s">
        <v>189</v>
      </c>
      <c r="C53" s="189" t="s">
        <v>187</v>
      </c>
      <c r="D53" s="186" t="s">
        <v>104</v>
      </c>
      <c r="E53" s="187">
        <f>E55</f>
        <v>20</v>
      </c>
      <c r="F53" s="188"/>
      <c r="G53" s="161">
        <f>ROUND(E53*F53,2)</f>
        <v>0</v>
      </c>
      <c r="H53" s="188">
        <v>0</v>
      </c>
      <c r="I53" s="161">
        <f>ROUND(E53*H53,2)</f>
        <v>0</v>
      </c>
      <c r="J53" s="188">
        <v>695</v>
      </c>
      <c r="K53" s="161">
        <f>ROUND(E53*J53,2)</f>
        <v>13900</v>
      </c>
      <c r="L53" s="161">
        <v>21</v>
      </c>
      <c r="M53" s="161">
        <f>G53*(1+L53/100)</f>
        <v>0</v>
      </c>
      <c r="N53" s="187">
        <v>0</v>
      </c>
      <c r="O53" s="187">
        <f>ROUND(E53*N53,2)</f>
        <v>0</v>
      </c>
      <c r="P53" s="187">
        <v>0</v>
      </c>
      <c r="Q53" s="187">
        <f>ROUND(E53*P53,2)</f>
        <v>0</v>
      </c>
      <c r="R53" s="161" t="s">
        <v>103</v>
      </c>
      <c r="S53" s="161" t="s">
        <v>161</v>
      </c>
      <c r="T53" s="161" t="s">
        <v>161</v>
      </c>
      <c r="U53" s="138"/>
      <c r="V53" s="138"/>
      <c r="W53" s="138"/>
      <c r="X53" s="138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</row>
    <row r="54" spans="1:60" outlineLevel="1" x14ac:dyDescent="0.2">
      <c r="A54" s="183"/>
      <c r="B54" s="165"/>
      <c r="C54" s="309" t="s">
        <v>188</v>
      </c>
      <c r="D54" s="310"/>
      <c r="E54" s="310"/>
      <c r="F54" s="310"/>
      <c r="G54" s="310"/>
      <c r="H54" s="138"/>
      <c r="I54" s="138"/>
      <c r="J54" s="138"/>
      <c r="K54" s="138"/>
      <c r="L54" s="138"/>
      <c r="M54" s="138"/>
      <c r="N54" s="193"/>
      <c r="O54" s="193"/>
      <c r="P54" s="193"/>
      <c r="Q54" s="193"/>
      <c r="R54" s="138"/>
      <c r="S54" s="138"/>
      <c r="T54" s="138"/>
      <c r="U54" s="138"/>
      <c r="V54" s="138"/>
      <c r="W54" s="138"/>
      <c r="X54" s="138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</row>
    <row r="55" spans="1:60" outlineLevel="1" x14ac:dyDescent="0.2">
      <c r="A55" s="183"/>
      <c r="B55" s="165"/>
      <c r="C55" s="324" t="s">
        <v>429</v>
      </c>
      <c r="D55" s="324"/>
      <c r="E55" s="213">
        <f>40*0.5*1</f>
        <v>20</v>
      </c>
      <c r="F55" s="210"/>
      <c r="G55" s="210"/>
      <c r="H55" s="138"/>
      <c r="I55" s="138"/>
      <c r="J55" s="138"/>
      <c r="K55" s="138"/>
      <c r="L55" s="138"/>
      <c r="M55" s="138"/>
      <c r="N55" s="193"/>
      <c r="O55" s="193"/>
      <c r="P55" s="193"/>
      <c r="Q55" s="193"/>
      <c r="R55" s="138"/>
      <c r="S55" s="138"/>
      <c r="T55" s="138"/>
      <c r="U55" s="138"/>
      <c r="V55" s="138"/>
      <c r="W55" s="138"/>
      <c r="X55" s="138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</row>
    <row r="56" spans="1:60" outlineLevel="1" x14ac:dyDescent="0.2">
      <c r="A56" s="183"/>
      <c r="B56" s="165"/>
      <c r="C56" s="195"/>
      <c r="D56" s="196"/>
      <c r="E56" s="196"/>
      <c r="F56" s="196"/>
      <c r="G56" s="196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/>
      <c r="S56" s="138"/>
      <c r="T56" s="138"/>
      <c r="U56" s="138"/>
      <c r="V56" s="138"/>
      <c r="W56" s="138"/>
      <c r="X56" s="138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</row>
    <row r="57" spans="1:60" outlineLevel="1" x14ac:dyDescent="0.2">
      <c r="A57" s="184">
        <f>A53+1</f>
        <v>12</v>
      </c>
      <c r="B57" s="185" t="s">
        <v>306</v>
      </c>
      <c r="C57" s="189" t="s">
        <v>307</v>
      </c>
      <c r="D57" s="186" t="s">
        <v>104</v>
      </c>
      <c r="E57" s="187">
        <f>E58</f>
        <v>10</v>
      </c>
      <c r="F57" s="188"/>
      <c r="G57" s="161">
        <f>ROUND(E57*F57,2)</f>
        <v>0</v>
      </c>
      <c r="H57" s="188">
        <v>0</v>
      </c>
      <c r="I57" s="161">
        <f>ROUND(E57*H57,2)</f>
        <v>0</v>
      </c>
      <c r="J57" s="188">
        <v>695</v>
      </c>
      <c r="K57" s="161">
        <f>ROUND(E57*J57,2)</f>
        <v>6950</v>
      </c>
      <c r="L57" s="161">
        <v>21</v>
      </c>
      <c r="M57" s="161">
        <f>G57*(1+L57/100)</f>
        <v>0</v>
      </c>
      <c r="N57" s="187">
        <v>0</v>
      </c>
      <c r="O57" s="187">
        <f>ROUND(E57*N57,2)</f>
        <v>0</v>
      </c>
      <c r="P57" s="187">
        <v>0</v>
      </c>
      <c r="Q57" s="187">
        <f>ROUND(E57*P57,2)</f>
        <v>0</v>
      </c>
      <c r="R57" s="161" t="s">
        <v>103</v>
      </c>
      <c r="S57" s="161" t="s">
        <v>161</v>
      </c>
      <c r="T57" s="161" t="s">
        <v>161</v>
      </c>
      <c r="U57" s="138"/>
      <c r="V57" s="138"/>
      <c r="W57" s="138"/>
      <c r="X57" s="138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</row>
    <row r="58" spans="1:60" outlineLevel="1" x14ac:dyDescent="0.2">
      <c r="A58" s="183"/>
      <c r="B58" s="165"/>
      <c r="C58" s="324" t="s">
        <v>432</v>
      </c>
      <c r="D58" s="324"/>
      <c r="E58" s="213">
        <v>10</v>
      </c>
      <c r="F58" s="210"/>
      <c r="G58" s="210"/>
      <c r="H58" s="138"/>
      <c r="I58" s="138"/>
      <c r="J58" s="138"/>
      <c r="K58" s="138"/>
      <c r="L58" s="138"/>
      <c r="M58" s="138"/>
      <c r="N58" s="193"/>
      <c r="O58" s="193"/>
      <c r="P58" s="193"/>
      <c r="Q58" s="193"/>
      <c r="R58" s="138"/>
      <c r="S58" s="138"/>
      <c r="T58" s="138"/>
      <c r="U58" s="138"/>
      <c r="V58" s="138"/>
      <c r="W58" s="138"/>
      <c r="X58" s="138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</row>
    <row r="59" spans="1:60" outlineLevel="1" x14ac:dyDescent="0.2">
      <c r="A59" s="183"/>
      <c r="B59" s="165"/>
      <c r="C59" s="195"/>
      <c r="D59" s="196"/>
      <c r="E59" s="196"/>
      <c r="F59" s="196"/>
      <c r="G59" s="196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8"/>
      <c r="X59" s="138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</row>
    <row r="60" spans="1:60" ht="22.5" outlineLevel="1" x14ac:dyDescent="0.2">
      <c r="A60" s="184">
        <f>A57+1</f>
        <v>13</v>
      </c>
      <c r="B60" s="214" t="s">
        <v>309</v>
      </c>
      <c r="C60" s="215" t="s">
        <v>311</v>
      </c>
      <c r="D60" s="186" t="s">
        <v>106</v>
      </c>
      <c r="E60" s="187">
        <f>E61</f>
        <v>16</v>
      </c>
      <c r="F60" s="188"/>
      <c r="G60" s="161">
        <f>ROUND(E60*F60,2)</f>
        <v>0</v>
      </c>
      <c r="H60" s="188">
        <v>0</v>
      </c>
      <c r="I60" s="161">
        <f>ROUND(E60*H60,2)</f>
        <v>0</v>
      </c>
      <c r="J60" s="188">
        <v>695</v>
      </c>
      <c r="K60" s="161">
        <f>ROUND(E60*J60,2)</f>
        <v>11120</v>
      </c>
      <c r="L60" s="161">
        <v>21</v>
      </c>
      <c r="M60" s="161">
        <f>G60*(1+L60/100)</f>
        <v>0</v>
      </c>
      <c r="N60" s="187">
        <v>0</v>
      </c>
      <c r="O60" s="187">
        <f>ROUND(E60*N60,2)</f>
        <v>0</v>
      </c>
      <c r="P60" s="187">
        <v>0</v>
      </c>
      <c r="Q60" s="187">
        <f>ROUND(E60*P60,2)</f>
        <v>0</v>
      </c>
      <c r="R60" s="161" t="s">
        <v>103</v>
      </c>
      <c r="S60" s="161" t="s">
        <v>161</v>
      </c>
      <c r="T60" s="161" t="s">
        <v>161</v>
      </c>
      <c r="U60" s="138"/>
      <c r="V60" s="138"/>
      <c r="W60" s="138"/>
      <c r="X60" s="138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</row>
    <row r="61" spans="1:60" outlineLevel="1" x14ac:dyDescent="0.2">
      <c r="A61" s="183"/>
      <c r="B61" s="216"/>
      <c r="C61" s="324" t="s">
        <v>433</v>
      </c>
      <c r="D61" s="324"/>
      <c r="E61" s="213">
        <f>E58*1.6</f>
        <v>16</v>
      </c>
      <c r="F61" s="210"/>
      <c r="G61" s="210"/>
      <c r="H61" s="190"/>
      <c r="I61" s="138"/>
      <c r="J61" s="190"/>
      <c r="K61" s="138"/>
      <c r="L61" s="138"/>
      <c r="M61" s="138"/>
      <c r="N61" s="193"/>
      <c r="O61" s="193"/>
      <c r="P61" s="193"/>
      <c r="Q61" s="193"/>
      <c r="R61" s="138"/>
      <c r="S61" s="138"/>
      <c r="T61" s="138"/>
      <c r="U61" s="138"/>
      <c r="V61" s="138"/>
      <c r="W61" s="138"/>
      <c r="X61" s="138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</row>
    <row r="62" spans="1:60" outlineLevel="1" x14ac:dyDescent="0.2">
      <c r="A62" s="183"/>
      <c r="B62" s="165"/>
      <c r="C62" s="195"/>
      <c r="D62" s="196"/>
      <c r="E62" s="196"/>
      <c r="F62" s="196"/>
      <c r="G62" s="196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</row>
    <row r="63" spans="1:60" outlineLevel="1" x14ac:dyDescent="0.2">
      <c r="A63" s="184">
        <f>A60+1</f>
        <v>14</v>
      </c>
      <c r="B63" s="185" t="s">
        <v>198</v>
      </c>
      <c r="C63" s="189" t="s">
        <v>129</v>
      </c>
      <c r="D63" s="186" t="s">
        <v>92</v>
      </c>
      <c r="E63" s="187">
        <v>1250</v>
      </c>
      <c r="F63" s="188"/>
      <c r="G63" s="161">
        <f>ROUND(E63*F63,2)</f>
        <v>0</v>
      </c>
      <c r="H63" s="188">
        <v>1.68</v>
      </c>
      <c r="I63" s="161">
        <f>ROUND(E63*H63,2)</f>
        <v>2100</v>
      </c>
      <c r="J63" s="188">
        <v>22.42</v>
      </c>
      <c r="K63" s="161">
        <f>ROUND(E63*J63,2)</f>
        <v>28025</v>
      </c>
      <c r="L63" s="161">
        <v>21</v>
      </c>
      <c r="M63" s="161">
        <f>G63*(1+L63/100)</f>
        <v>0</v>
      </c>
      <c r="N63" s="161">
        <v>0</v>
      </c>
      <c r="O63" s="161">
        <f>ROUND(E63*N63,2)</f>
        <v>0</v>
      </c>
      <c r="P63" s="161">
        <v>0</v>
      </c>
      <c r="Q63" s="161">
        <f>ROUND(E63*P63,2)</f>
        <v>0</v>
      </c>
      <c r="R63" s="161" t="s">
        <v>105</v>
      </c>
      <c r="S63" s="161" t="s">
        <v>161</v>
      </c>
      <c r="T63" s="161" t="s">
        <v>161</v>
      </c>
      <c r="U63" s="138">
        <v>3.6999999999999998E-2</v>
      </c>
      <c r="V63" s="138">
        <f>ROUND(E63*U63,2)</f>
        <v>46.25</v>
      </c>
      <c r="W63" s="138"/>
      <c r="X63" s="138" t="s">
        <v>99</v>
      </c>
      <c r="Y63" s="135"/>
      <c r="Z63" s="135"/>
      <c r="AA63" s="135"/>
      <c r="AB63" s="135"/>
      <c r="AC63" s="135"/>
      <c r="AD63" s="135"/>
      <c r="AE63" s="135"/>
      <c r="AF63" s="135"/>
      <c r="AG63" s="135" t="s">
        <v>100</v>
      </c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</row>
    <row r="64" spans="1:60" ht="13.15" customHeight="1" outlineLevel="1" x14ac:dyDescent="0.2">
      <c r="A64" s="183"/>
      <c r="B64" s="165"/>
      <c r="C64" s="309" t="s">
        <v>130</v>
      </c>
      <c r="D64" s="310"/>
      <c r="E64" s="310"/>
      <c r="F64" s="310"/>
      <c r="G64" s="310"/>
      <c r="H64" s="138"/>
      <c r="I64" s="138"/>
      <c r="J64" s="138"/>
      <c r="K64" s="138"/>
      <c r="L64" s="138"/>
      <c r="M64" s="138"/>
      <c r="N64" s="138"/>
      <c r="O64" s="138"/>
      <c r="P64" s="138"/>
      <c r="Q64" s="138"/>
      <c r="R64" s="138"/>
      <c r="S64" s="138"/>
      <c r="T64" s="138"/>
      <c r="U64" s="138"/>
      <c r="V64" s="138"/>
      <c r="W64" s="138"/>
      <c r="X64" s="138"/>
      <c r="Y64" s="135"/>
      <c r="Z64" s="135"/>
      <c r="AA64" s="135"/>
      <c r="AB64" s="135"/>
      <c r="AC64" s="135"/>
      <c r="AD64" s="135"/>
      <c r="AE64" s="135"/>
      <c r="AF64" s="135"/>
      <c r="AG64" s="135" t="s">
        <v>101</v>
      </c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</row>
    <row r="65" spans="1:60" outlineLevel="1" x14ac:dyDescent="0.2">
      <c r="A65" s="183"/>
      <c r="B65" s="165"/>
      <c r="C65" s="322"/>
      <c r="D65" s="323"/>
      <c r="E65" s="323"/>
      <c r="F65" s="323"/>
      <c r="G65" s="323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5"/>
      <c r="Z65" s="135"/>
      <c r="AA65" s="135"/>
      <c r="AB65" s="135"/>
      <c r="AC65" s="135"/>
      <c r="AD65" s="135"/>
      <c r="AE65" s="135"/>
      <c r="AF65" s="135"/>
      <c r="AG65" s="135" t="s">
        <v>90</v>
      </c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</row>
    <row r="66" spans="1:60" outlineLevel="1" x14ac:dyDescent="0.2">
      <c r="A66" s="184">
        <f>A63+1</f>
        <v>15</v>
      </c>
      <c r="B66" s="185" t="s">
        <v>199</v>
      </c>
      <c r="C66" s="189" t="s">
        <v>202</v>
      </c>
      <c r="D66" s="186" t="s">
        <v>92</v>
      </c>
      <c r="E66" s="187">
        <f>E63</f>
        <v>1250</v>
      </c>
      <c r="F66" s="188"/>
      <c r="G66" s="161">
        <f>ROUND(E66*F66,2)</f>
        <v>0</v>
      </c>
      <c r="H66" s="188">
        <v>0</v>
      </c>
      <c r="I66" s="161">
        <f>ROUND(E66*H66,2)</f>
        <v>0</v>
      </c>
      <c r="J66" s="188">
        <v>17.399999999999999</v>
      </c>
      <c r="K66" s="161">
        <f>ROUND(E66*J66,2)</f>
        <v>21750</v>
      </c>
      <c r="L66" s="161">
        <v>21</v>
      </c>
      <c r="M66" s="161">
        <f>G66*(1+L66/100)</f>
        <v>0</v>
      </c>
      <c r="N66" s="161">
        <v>0</v>
      </c>
      <c r="O66" s="161">
        <f>ROUND(E66*N66,2)</f>
        <v>0</v>
      </c>
      <c r="P66" s="161">
        <v>0</v>
      </c>
      <c r="Q66" s="161">
        <f>ROUND(E66*P66,2)</f>
        <v>0</v>
      </c>
      <c r="R66" s="161" t="s">
        <v>131</v>
      </c>
      <c r="S66" s="161" t="s">
        <v>161</v>
      </c>
      <c r="T66" s="161" t="s">
        <v>161</v>
      </c>
      <c r="U66" s="138"/>
      <c r="V66" s="138"/>
      <c r="W66" s="138"/>
      <c r="X66" s="138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</row>
    <row r="67" spans="1:60" outlineLevel="1" x14ac:dyDescent="0.2">
      <c r="A67" s="183"/>
      <c r="B67" s="165"/>
      <c r="C67" s="195"/>
      <c r="D67" s="196"/>
      <c r="E67" s="196"/>
      <c r="F67" s="196"/>
      <c r="G67" s="196"/>
      <c r="H67" s="138"/>
      <c r="I67" s="138"/>
      <c r="J67" s="138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</row>
    <row r="68" spans="1:60" outlineLevel="1" x14ac:dyDescent="0.2">
      <c r="A68" s="184">
        <f>A66+1</f>
        <v>16</v>
      </c>
      <c r="B68" s="214" t="s">
        <v>201</v>
      </c>
      <c r="C68" s="215" t="s">
        <v>203</v>
      </c>
      <c r="D68" s="186" t="s">
        <v>104</v>
      </c>
      <c r="E68" s="187">
        <f>E69</f>
        <v>125</v>
      </c>
      <c r="F68" s="188"/>
      <c r="G68" s="161">
        <f>ROUND(E68*F68,2)</f>
        <v>0</v>
      </c>
      <c r="H68" s="188">
        <v>0</v>
      </c>
      <c r="I68" s="161">
        <f>ROUND(E68*H68,2)</f>
        <v>0</v>
      </c>
      <c r="J68" s="188">
        <v>17.399999999999999</v>
      </c>
      <c r="K68" s="161">
        <f>ROUND(E68*J68,2)</f>
        <v>2175</v>
      </c>
      <c r="L68" s="161">
        <v>21</v>
      </c>
      <c r="M68" s="161">
        <f>G68*(1+L68/100)</f>
        <v>0</v>
      </c>
      <c r="N68" s="161">
        <v>0</v>
      </c>
      <c r="O68" s="161">
        <f>ROUND(E68*N68,2)</f>
        <v>0</v>
      </c>
      <c r="P68" s="161">
        <v>0</v>
      </c>
      <c r="Q68" s="161">
        <f>ROUND(E68*P68,2)</f>
        <v>0</v>
      </c>
      <c r="R68" s="161" t="s">
        <v>131</v>
      </c>
      <c r="S68" s="161" t="s">
        <v>161</v>
      </c>
      <c r="T68" s="161" t="s">
        <v>161</v>
      </c>
      <c r="U68" s="138"/>
      <c r="V68" s="138"/>
      <c r="W68" s="138"/>
      <c r="X68" s="138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</row>
    <row r="69" spans="1:60" outlineLevel="1" x14ac:dyDescent="0.2">
      <c r="A69" s="183"/>
      <c r="B69" s="165"/>
      <c r="C69" s="324" t="s">
        <v>434</v>
      </c>
      <c r="D69" s="324"/>
      <c r="E69" s="213">
        <f>E66*0.1</f>
        <v>125</v>
      </c>
      <c r="F69" s="210"/>
      <c r="G69" s="210"/>
      <c r="H69" s="190"/>
      <c r="I69" s="138"/>
      <c r="J69" s="190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</row>
    <row r="70" spans="1:60" outlineLevel="1" x14ac:dyDescent="0.2">
      <c r="A70" s="183"/>
      <c r="B70" s="165"/>
      <c r="C70" s="195"/>
      <c r="D70" s="196"/>
      <c r="E70" s="196"/>
      <c r="F70" s="196"/>
      <c r="G70" s="196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</row>
    <row r="71" spans="1:60" outlineLevel="1" x14ac:dyDescent="0.2">
      <c r="A71" s="184">
        <f>A68+1</f>
        <v>17</v>
      </c>
      <c r="B71" s="185" t="s">
        <v>204</v>
      </c>
      <c r="C71" s="189" t="s">
        <v>122</v>
      </c>
      <c r="D71" s="186" t="s">
        <v>92</v>
      </c>
      <c r="E71" s="187">
        <f>E73</f>
        <v>6862</v>
      </c>
      <c r="F71" s="188"/>
      <c r="G71" s="161">
        <f>ROUND(E71*F71,2)</f>
        <v>0</v>
      </c>
      <c r="H71" s="188">
        <v>0</v>
      </c>
      <c r="I71" s="161">
        <f>ROUND(E71*H71,2)</f>
        <v>0</v>
      </c>
      <c r="J71" s="188">
        <v>13.3</v>
      </c>
      <c r="K71" s="161">
        <f>ROUND(E71*J71,2)</f>
        <v>91264.6</v>
      </c>
      <c r="L71" s="161">
        <v>21</v>
      </c>
      <c r="M71" s="161">
        <f>G71*(1+L71/100)</f>
        <v>0</v>
      </c>
      <c r="N71" s="161">
        <v>0</v>
      </c>
      <c r="O71" s="161">
        <f>ROUND(E71*N71,2)</f>
        <v>0</v>
      </c>
      <c r="P71" s="161">
        <v>0</v>
      </c>
      <c r="Q71" s="161">
        <f>ROUND(E71*P71,2)</f>
        <v>0</v>
      </c>
      <c r="R71" s="161" t="s">
        <v>103</v>
      </c>
      <c r="S71" s="161" t="s">
        <v>161</v>
      </c>
      <c r="T71" s="161" t="s">
        <v>161</v>
      </c>
      <c r="U71" s="138"/>
      <c r="V71" s="138"/>
      <c r="W71" s="138"/>
      <c r="X71" s="138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</row>
    <row r="72" spans="1:60" outlineLevel="1" x14ac:dyDescent="0.2">
      <c r="A72" s="183"/>
      <c r="B72" s="165"/>
      <c r="C72" s="198" t="s">
        <v>205</v>
      </c>
      <c r="D72" s="192"/>
      <c r="E72" s="193"/>
      <c r="F72" s="191"/>
      <c r="G72" s="138"/>
      <c r="H72" s="190"/>
      <c r="I72" s="138"/>
      <c r="J72" s="190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</row>
    <row r="73" spans="1:60" outlineLevel="1" x14ac:dyDescent="0.2">
      <c r="A73" s="183"/>
      <c r="B73" s="165"/>
      <c r="C73" s="211" t="s">
        <v>435</v>
      </c>
      <c r="D73" s="212"/>
      <c r="E73" s="213">
        <f>4420+1035+77+150+490+690</f>
        <v>6862</v>
      </c>
      <c r="F73" s="210"/>
      <c r="G73" s="210"/>
      <c r="H73" s="190"/>
      <c r="I73" s="138"/>
      <c r="J73" s="190"/>
      <c r="K73" s="138"/>
      <c r="L73" s="138"/>
      <c r="M73" s="138"/>
      <c r="N73" s="138"/>
      <c r="O73" s="138"/>
      <c r="P73" s="138"/>
      <c r="Q73" s="138"/>
      <c r="R73" s="138"/>
      <c r="S73" s="138"/>
      <c r="T73" s="138"/>
      <c r="U73" s="138"/>
      <c r="V73" s="138"/>
      <c r="W73" s="138"/>
      <c r="X73" s="138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</row>
    <row r="74" spans="1:60" ht="13.15" customHeight="1" outlineLevel="1" x14ac:dyDescent="0.2">
      <c r="A74" s="183"/>
      <c r="B74" s="165"/>
      <c r="C74" s="195"/>
      <c r="D74" s="196"/>
      <c r="E74" s="196"/>
      <c r="F74" s="196"/>
      <c r="G74" s="196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8"/>
      <c r="V74" s="138"/>
      <c r="W74" s="138"/>
      <c r="X74" s="138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</row>
    <row r="75" spans="1:60" ht="22.5" outlineLevel="1" x14ac:dyDescent="0.2">
      <c r="A75" s="184">
        <f>A71+1</f>
        <v>18</v>
      </c>
      <c r="B75" s="185" t="s">
        <v>206</v>
      </c>
      <c r="C75" s="189" t="s">
        <v>207</v>
      </c>
      <c r="D75" s="186" t="s">
        <v>104</v>
      </c>
      <c r="E75" s="187">
        <f>E43</f>
        <v>1515.9720000000002</v>
      </c>
      <c r="F75" s="188"/>
      <c r="G75" s="161">
        <f>ROUND(E75*F75,2)</f>
        <v>0</v>
      </c>
      <c r="H75" s="188">
        <v>0</v>
      </c>
      <c r="I75" s="161">
        <f>ROUND(E75*H75,2)</f>
        <v>0</v>
      </c>
      <c r="J75" s="188">
        <v>282.5</v>
      </c>
      <c r="K75" s="161">
        <f>ROUND(E75*J75,2)</f>
        <v>428262.09</v>
      </c>
      <c r="L75" s="161">
        <v>21</v>
      </c>
      <c r="M75" s="161">
        <f>G75*(1+L75/100)</f>
        <v>0</v>
      </c>
      <c r="N75" s="161">
        <v>0</v>
      </c>
      <c r="O75" s="161">
        <f>ROUND(E75*N75,2)</f>
        <v>0</v>
      </c>
      <c r="P75" s="161">
        <v>0</v>
      </c>
      <c r="Q75" s="161">
        <f>ROUND(E75*P75,2)</f>
        <v>0</v>
      </c>
      <c r="R75" s="161" t="s">
        <v>103</v>
      </c>
      <c r="S75" s="161" t="s">
        <v>161</v>
      </c>
      <c r="T75" s="161" t="s">
        <v>161</v>
      </c>
      <c r="U75" s="138"/>
      <c r="V75" s="138"/>
      <c r="W75" s="138"/>
      <c r="X75" s="138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</row>
    <row r="76" spans="1:60" x14ac:dyDescent="0.2">
      <c r="A76" s="183"/>
      <c r="B76" s="165"/>
      <c r="C76" s="325"/>
      <c r="D76" s="326"/>
      <c r="E76" s="326"/>
      <c r="F76" s="326"/>
      <c r="G76" s="326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9"/>
      <c r="V76" s="139">
        <f>SUM(V77:V78)</f>
        <v>0</v>
      </c>
      <c r="W76" s="139"/>
      <c r="X76" s="139"/>
      <c r="Z76" s="81"/>
      <c r="AG76" t="s">
        <v>89</v>
      </c>
    </row>
    <row r="77" spans="1:60" outlineLevel="1" x14ac:dyDescent="0.2">
      <c r="A77" s="140" t="s">
        <v>88</v>
      </c>
      <c r="B77" s="141" t="s">
        <v>53</v>
      </c>
      <c r="C77" s="147" t="s">
        <v>54</v>
      </c>
      <c r="D77" s="142"/>
      <c r="E77" s="143"/>
      <c r="F77" s="144"/>
      <c r="G77" s="144">
        <f>SUMIF(AG78:AG133,"&lt;&gt;NOR",G78:G133)</f>
        <v>0</v>
      </c>
      <c r="H77" s="144"/>
      <c r="I77" s="144">
        <f>SUM(I78:I100)</f>
        <v>2761922.8</v>
      </c>
      <c r="J77" s="144"/>
      <c r="K77" s="144">
        <f>SUM(K78:K100)</f>
        <v>436181.19999999995</v>
      </c>
      <c r="L77" s="144"/>
      <c r="M77" s="144">
        <f>SUMIF(AM78:AM133,"&lt;&gt;NOR",M78:M133)</f>
        <v>0</v>
      </c>
      <c r="N77" s="144"/>
      <c r="O77" s="144">
        <f>SUM(O78:O100)</f>
        <v>6329.24</v>
      </c>
      <c r="P77" s="144"/>
      <c r="Q77" s="144">
        <f>SUM(Q78:Q100)</f>
        <v>0</v>
      </c>
      <c r="R77" s="144"/>
      <c r="S77" s="144"/>
      <c r="T77" s="145"/>
      <c r="U77" s="138"/>
      <c r="V77" s="138"/>
      <c r="W77" s="138"/>
      <c r="X77" s="138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</row>
    <row r="78" spans="1:60" ht="22.5" outlineLevel="1" x14ac:dyDescent="0.2">
      <c r="A78" s="184">
        <f>A75+1</f>
        <v>19</v>
      </c>
      <c r="B78" s="185" t="s">
        <v>211</v>
      </c>
      <c r="C78" s="189" t="s">
        <v>325</v>
      </c>
      <c r="D78" s="186" t="s">
        <v>92</v>
      </c>
      <c r="E78" s="187">
        <f>E79</f>
        <v>490</v>
      </c>
      <c r="F78" s="188"/>
      <c r="G78" s="161">
        <f>ROUND(E78*F78,2)</f>
        <v>0</v>
      </c>
      <c r="H78" s="188">
        <v>164.95</v>
      </c>
      <c r="I78" s="161">
        <f>ROUND(E78*H78,2)</f>
        <v>80825.5</v>
      </c>
      <c r="J78" s="188">
        <v>26.05</v>
      </c>
      <c r="K78" s="161">
        <f>ROUND(E78*J78,2)</f>
        <v>12764.5</v>
      </c>
      <c r="L78" s="161">
        <v>21</v>
      </c>
      <c r="M78" s="161">
        <f>G78*(1+L78/100)</f>
        <v>0</v>
      </c>
      <c r="N78" s="161">
        <v>0.378</v>
      </c>
      <c r="O78" s="161">
        <f>ROUND(E78*N78,2)</f>
        <v>185.22</v>
      </c>
      <c r="P78" s="161">
        <v>0</v>
      </c>
      <c r="Q78" s="161">
        <f>ROUND(E78*P78,2)</f>
        <v>0</v>
      </c>
      <c r="R78" s="161" t="s">
        <v>98</v>
      </c>
      <c r="S78" s="161" t="s">
        <v>161</v>
      </c>
      <c r="T78" s="161" t="s">
        <v>161</v>
      </c>
      <c r="U78" s="138"/>
      <c r="V78" s="138"/>
      <c r="W78" s="138"/>
      <c r="X78" s="138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</row>
    <row r="79" spans="1:60" outlineLevel="1" x14ac:dyDescent="0.2">
      <c r="A79" s="183"/>
      <c r="B79" s="165"/>
      <c r="C79" s="211" t="s">
        <v>436</v>
      </c>
      <c r="D79" s="212"/>
      <c r="E79" s="213">
        <v>490</v>
      </c>
      <c r="F79" s="210"/>
      <c r="G79" s="210"/>
      <c r="H79" s="190"/>
      <c r="I79" s="138"/>
      <c r="J79" s="190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</row>
    <row r="80" spans="1:60" outlineLevel="1" x14ac:dyDescent="0.2">
      <c r="A80" s="183"/>
      <c r="B80" s="165"/>
      <c r="C80" s="195"/>
      <c r="D80" s="196"/>
      <c r="E80" s="196"/>
      <c r="F80" s="196"/>
      <c r="G80" s="196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</row>
    <row r="81" spans="1:60" ht="22.5" outlineLevel="1" x14ac:dyDescent="0.2">
      <c r="A81" s="184">
        <f>A78+1</f>
        <v>20</v>
      </c>
      <c r="B81" s="185" t="s">
        <v>210</v>
      </c>
      <c r="C81" s="189" t="s">
        <v>324</v>
      </c>
      <c r="D81" s="186" t="s">
        <v>92</v>
      </c>
      <c r="E81" s="187">
        <f>E82</f>
        <v>490</v>
      </c>
      <c r="F81" s="188"/>
      <c r="G81" s="161">
        <f>ROUND(E81*F81,2)</f>
        <v>0</v>
      </c>
      <c r="H81" s="188">
        <v>164.95</v>
      </c>
      <c r="I81" s="161">
        <f>ROUND(E81*H81,2)</f>
        <v>80825.5</v>
      </c>
      <c r="J81" s="188">
        <v>26.05</v>
      </c>
      <c r="K81" s="161">
        <f>ROUND(E81*J81,2)</f>
        <v>12764.5</v>
      </c>
      <c r="L81" s="161">
        <v>21</v>
      </c>
      <c r="M81" s="161">
        <f>G81*(1+L81/100)</f>
        <v>0</v>
      </c>
      <c r="N81" s="161">
        <v>0.378</v>
      </c>
      <c r="O81" s="161">
        <f>ROUND(E81*N81,2)</f>
        <v>185.22</v>
      </c>
      <c r="P81" s="161">
        <v>0</v>
      </c>
      <c r="Q81" s="161">
        <f>ROUND(E81*P81,2)</f>
        <v>0</v>
      </c>
      <c r="R81" s="161" t="s">
        <v>98</v>
      </c>
      <c r="S81" s="161" t="s">
        <v>161</v>
      </c>
      <c r="T81" s="161" t="s">
        <v>161</v>
      </c>
      <c r="U81" s="138"/>
      <c r="V81" s="138"/>
      <c r="W81" s="138"/>
      <c r="X81" s="138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</row>
    <row r="82" spans="1:60" outlineLevel="1" x14ac:dyDescent="0.2">
      <c r="A82" s="183"/>
      <c r="B82" s="165"/>
      <c r="C82" s="211" t="s">
        <v>436</v>
      </c>
      <c r="D82" s="212"/>
      <c r="E82" s="213">
        <f>E79</f>
        <v>490</v>
      </c>
      <c r="F82" s="210"/>
      <c r="G82" s="210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</row>
    <row r="83" spans="1:60" outlineLevel="1" x14ac:dyDescent="0.2">
      <c r="A83" s="183"/>
      <c r="B83" s="165"/>
      <c r="C83" s="195"/>
      <c r="D83" s="196"/>
      <c r="E83" s="196"/>
      <c r="F83" s="196"/>
      <c r="G83" s="196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</row>
    <row r="84" spans="1:60" ht="22.5" outlineLevel="1" x14ac:dyDescent="0.2">
      <c r="A84" s="184">
        <f>A81+1</f>
        <v>21</v>
      </c>
      <c r="B84" s="185" t="s">
        <v>208</v>
      </c>
      <c r="C84" s="189" t="s">
        <v>209</v>
      </c>
      <c r="D84" s="186" t="s">
        <v>92</v>
      </c>
      <c r="E84" s="187">
        <f>E85</f>
        <v>2292</v>
      </c>
      <c r="F84" s="188"/>
      <c r="G84" s="161">
        <f>ROUND(E84*F84,2)</f>
        <v>0</v>
      </c>
      <c r="H84" s="188">
        <v>164.95</v>
      </c>
      <c r="I84" s="161">
        <f>ROUND(E84*H84,2)</f>
        <v>378065.4</v>
      </c>
      <c r="J84" s="188">
        <v>26.05</v>
      </c>
      <c r="K84" s="161">
        <f>ROUND(E84*J84,2)</f>
        <v>59706.6</v>
      </c>
      <c r="L84" s="161">
        <v>21</v>
      </c>
      <c r="M84" s="161">
        <f>G84*(1+L84/100)</f>
        <v>0</v>
      </c>
      <c r="N84" s="161">
        <v>0.378</v>
      </c>
      <c r="O84" s="161">
        <f>ROUND(E84*N84,2)</f>
        <v>866.38</v>
      </c>
      <c r="P84" s="161">
        <v>0</v>
      </c>
      <c r="Q84" s="161">
        <f>ROUND(E84*P84,2)</f>
        <v>0</v>
      </c>
      <c r="R84" s="161" t="s">
        <v>98</v>
      </c>
      <c r="S84" s="161" t="s">
        <v>161</v>
      </c>
      <c r="T84" s="161" t="s">
        <v>161</v>
      </c>
      <c r="U84" s="138"/>
      <c r="V84" s="138"/>
      <c r="W84" s="138"/>
      <c r="X84" s="138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</row>
    <row r="85" spans="1:60" outlineLevel="1" x14ac:dyDescent="0.2">
      <c r="A85" s="183"/>
      <c r="B85" s="165"/>
      <c r="C85" s="211" t="s">
        <v>437</v>
      </c>
      <c r="D85" s="212"/>
      <c r="E85" s="213">
        <f>1035+77+690+490</f>
        <v>2292</v>
      </c>
      <c r="F85" s="210"/>
      <c r="G85" s="210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</row>
    <row r="86" spans="1:60" outlineLevel="1" x14ac:dyDescent="0.2">
      <c r="A86" s="183"/>
      <c r="B86" s="165"/>
      <c r="C86" s="195"/>
      <c r="D86" s="196"/>
      <c r="E86" s="196"/>
      <c r="F86" s="196"/>
      <c r="G86" s="196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</row>
    <row r="87" spans="1:60" ht="22.5" outlineLevel="1" x14ac:dyDescent="0.2">
      <c r="A87" s="184">
        <f>A84+1</f>
        <v>22</v>
      </c>
      <c r="B87" s="185" t="s">
        <v>212</v>
      </c>
      <c r="C87" s="189" t="s">
        <v>132</v>
      </c>
      <c r="D87" s="186" t="s">
        <v>92</v>
      </c>
      <c r="E87" s="187">
        <f>E88</f>
        <v>8840</v>
      </c>
      <c r="F87" s="188"/>
      <c r="G87" s="161">
        <f>ROUND(E87*F87,2)</f>
        <v>0</v>
      </c>
      <c r="H87" s="188">
        <v>164.95</v>
      </c>
      <c r="I87" s="161">
        <f>ROUND(E87*H87,2)</f>
        <v>1458158</v>
      </c>
      <c r="J87" s="188">
        <v>26.05</v>
      </c>
      <c r="K87" s="161">
        <f>ROUND(E87*J87,2)</f>
        <v>230282</v>
      </c>
      <c r="L87" s="161">
        <v>21</v>
      </c>
      <c r="M87" s="161">
        <f>G87*(1+L87/100)</f>
        <v>0</v>
      </c>
      <c r="N87" s="161">
        <v>0.378</v>
      </c>
      <c r="O87" s="161">
        <f>ROUND(E87*N87,2)</f>
        <v>3341.52</v>
      </c>
      <c r="P87" s="161">
        <v>0</v>
      </c>
      <c r="Q87" s="161">
        <f>ROUND(E87*P87,2)</f>
        <v>0</v>
      </c>
      <c r="R87" s="161" t="s">
        <v>98</v>
      </c>
      <c r="S87" s="161" t="s">
        <v>161</v>
      </c>
      <c r="T87" s="161" t="s">
        <v>161</v>
      </c>
      <c r="U87" s="138"/>
      <c r="V87" s="138"/>
      <c r="W87" s="138"/>
      <c r="X87" s="138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</row>
    <row r="88" spans="1:60" outlineLevel="1" x14ac:dyDescent="0.2">
      <c r="A88" s="183"/>
      <c r="B88" s="165"/>
      <c r="C88" s="211" t="s">
        <v>438</v>
      </c>
      <c r="D88" s="212"/>
      <c r="E88" s="213">
        <f>4420*2</f>
        <v>8840</v>
      </c>
      <c r="F88" s="210"/>
      <c r="G88" s="210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</row>
    <row r="89" spans="1:60" outlineLevel="1" x14ac:dyDescent="0.2">
      <c r="A89" s="183"/>
      <c r="B89" s="165"/>
      <c r="C89" s="195"/>
      <c r="D89" s="196"/>
      <c r="E89" s="196"/>
      <c r="F89" s="196"/>
      <c r="G89" s="196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</row>
    <row r="90" spans="1:60" ht="22.5" outlineLevel="1" x14ac:dyDescent="0.2">
      <c r="A90" s="184">
        <f>A87+1</f>
        <v>23</v>
      </c>
      <c r="B90" s="185" t="s">
        <v>397</v>
      </c>
      <c r="C90" s="189" t="s">
        <v>158</v>
      </c>
      <c r="D90" s="186" t="s">
        <v>92</v>
      </c>
      <c r="E90" s="187">
        <f>E91</f>
        <v>150</v>
      </c>
      <c r="F90" s="188"/>
      <c r="G90" s="161">
        <f>ROUND(E90*F90,2)</f>
        <v>0</v>
      </c>
      <c r="H90" s="188">
        <v>164.95</v>
      </c>
      <c r="I90" s="161">
        <f>ROUND(E90*H90,2)</f>
        <v>24742.5</v>
      </c>
      <c r="J90" s="188">
        <v>26.05</v>
      </c>
      <c r="K90" s="161">
        <f>ROUND(E90*J90,2)</f>
        <v>3907.5</v>
      </c>
      <c r="L90" s="161">
        <v>21</v>
      </c>
      <c r="M90" s="161">
        <f>G90*(1+L90/100)</f>
        <v>0</v>
      </c>
      <c r="N90" s="161">
        <v>0.378</v>
      </c>
      <c r="O90" s="161">
        <f>ROUND(E90*N90,2)</f>
        <v>56.7</v>
      </c>
      <c r="P90" s="161">
        <v>0</v>
      </c>
      <c r="Q90" s="161">
        <f>ROUND(E90*P90,2)</f>
        <v>0</v>
      </c>
      <c r="R90" s="161" t="s">
        <v>98</v>
      </c>
      <c r="S90" s="161" t="s">
        <v>161</v>
      </c>
      <c r="T90" s="161" t="s">
        <v>161</v>
      </c>
      <c r="U90" s="138"/>
      <c r="V90" s="138"/>
      <c r="W90" s="138"/>
      <c r="X90" s="138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</row>
    <row r="91" spans="1:60" outlineLevel="1" x14ac:dyDescent="0.2">
      <c r="A91" s="183"/>
      <c r="B91" s="165"/>
      <c r="C91" s="211" t="s">
        <v>439</v>
      </c>
      <c r="D91" s="212"/>
      <c r="E91" s="213">
        <v>150</v>
      </c>
      <c r="F91" s="210"/>
      <c r="G91" s="210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</row>
    <row r="92" spans="1:60" outlineLevel="1" x14ac:dyDescent="0.2">
      <c r="A92" s="183"/>
      <c r="B92" s="165"/>
      <c r="C92" s="195"/>
      <c r="D92" s="196"/>
      <c r="E92" s="196"/>
      <c r="F92" s="196"/>
      <c r="G92" s="196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</row>
    <row r="93" spans="1:60" ht="22.5" outlineLevel="1" x14ac:dyDescent="0.2">
      <c r="A93" s="184">
        <f>A90+1</f>
        <v>24</v>
      </c>
      <c r="B93" s="185" t="s">
        <v>228</v>
      </c>
      <c r="C93" s="189" t="s">
        <v>227</v>
      </c>
      <c r="D93" s="186" t="s">
        <v>92</v>
      </c>
      <c r="E93" s="187">
        <f>E94</f>
        <v>2530</v>
      </c>
      <c r="F93" s="188"/>
      <c r="G93" s="161">
        <f>ROUND(E93*F93,2)</f>
        <v>0</v>
      </c>
      <c r="H93" s="188">
        <v>164.95</v>
      </c>
      <c r="I93" s="161">
        <f>ROUND(E93*H93,2)</f>
        <v>417323.5</v>
      </c>
      <c r="J93" s="188">
        <v>26.05</v>
      </c>
      <c r="K93" s="161">
        <f>ROUND(E93*J93,2)</f>
        <v>65906.5</v>
      </c>
      <c r="L93" s="161">
        <v>21</v>
      </c>
      <c r="M93" s="161">
        <f>G93*(1+L93/100)</f>
        <v>0</v>
      </c>
      <c r="N93" s="161">
        <v>0.378</v>
      </c>
      <c r="O93" s="161">
        <f>ROUND(E93*N93,2)</f>
        <v>956.34</v>
      </c>
      <c r="P93" s="161">
        <v>0</v>
      </c>
      <c r="Q93" s="161">
        <f>ROUND(E93*P93,2)</f>
        <v>0</v>
      </c>
      <c r="R93" s="161" t="s">
        <v>98</v>
      </c>
      <c r="S93" s="161" t="s">
        <v>161</v>
      </c>
      <c r="T93" s="161" t="s">
        <v>161</v>
      </c>
      <c r="U93" s="138"/>
      <c r="V93" s="138"/>
      <c r="W93" s="138"/>
      <c r="X93" s="138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</row>
    <row r="94" spans="1:60" outlineLevel="1" x14ac:dyDescent="0.2">
      <c r="A94" s="183"/>
      <c r="B94" s="165"/>
      <c r="C94" s="211" t="s">
        <v>440</v>
      </c>
      <c r="D94" s="212"/>
      <c r="E94" s="213">
        <f>(4420+490+150)/2</f>
        <v>2530</v>
      </c>
      <c r="F94" s="210"/>
      <c r="G94" s="210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</row>
    <row r="95" spans="1:60" outlineLevel="1" x14ac:dyDescent="0.2">
      <c r="A95" s="183"/>
      <c r="B95" s="165"/>
      <c r="C95" s="195"/>
      <c r="D95" s="196"/>
      <c r="E95" s="196"/>
      <c r="F95" s="196"/>
      <c r="G95" s="196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</row>
    <row r="96" spans="1:60" ht="22.5" outlineLevel="1" x14ac:dyDescent="0.2">
      <c r="A96" s="184">
        <f>A93+1</f>
        <v>25</v>
      </c>
      <c r="B96" s="185" t="s">
        <v>213</v>
      </c>
      <c r="C96" s="189" t="s">
        <v>214</v>
      </c>
      <c r="D96" s="186" t="s">
        <v>92</v>
      </c>
      <c r="E96" s="187">
        <f>E97</f>
        <v>1802</v>
      </c>
      <c r="F96" s="188"/>
      <c r="G96" s="161">
        <f>ROUND(E96*F96,2)</f>
        <v>0</v>
      </c>
      <c r="H96" s="188">
        <v>164.95</v>
      </c>
      <c r="I96" s="161">
        <f>ROUND(E96*H96,2)</f>
        <v>297239.90000000002</v>
      </c>
      <c r="J96" s="188">
        <v>26.05</v>
      </c>
      <c r="K96" s="161">
        <f>ROUND(E96*J96,2)</f>
        <v>46942.1</v>
      </c>
      <c r="L96" s="161">
        <v>21</v>
      </c>
      <c r="M96" s="161">
        <f>G96*(1+L96/100)</f>
        <v>0</v>
      </c>
      <c r="N96" s="161">
        <v>0.378</v>
      </c>
      <c r="O96" s="161">
        <f>ROUND(E96*N96,2)</f>
        <v>681.16</v>
      </c>
      <c r="P96" s="161">
        <v>0</v>
      </c>
      <c r="Q96" s="161">
        <f>ROUND(E96*P96,2)</f>
        <v>0</v>
      </c>
      <c r="R96" s="161" t="s">
        <v>98</v>
      </c>
      <c r="S96" s="161" t="s">
        <v>161</v>
      </c>
      <c r="T96" s="161" t="s">
        <v>161</v>
      </c>
      <c r="U96" s="138"/>
      <c r="V96" s="138"/>
      <c r="W96" s="138"/>
      <c r="X96" s="138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</row>
    <row r="97" spans="1:60" outlineLevel="1" x14ac:dyDescent="0.2">
      <c r="A97" s="183"/>
      <c r="B97" s="165"/>
      <c r="C97" s="211" t="s">
        <v>441</v>
      </c>
      <c r="D97" s="212"/>
      <c r="E97" s="213">
        <f>1035+77+690</f>
        <v>1802</v>
      </c>
      <c r="F97" s="210"/>
      <c r="G97" s="210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</row>
    <row r="98" spans="1:60" outlineLevel="1" x14ac:dyDescent="0.2">
      <c r="A98" s="183"/>
      <c r="B98" s="165"/>
      <c r="C98" s="195"/>
      <c r="D98" s="196"/>
      <c r="E98" s="196"/>
      <c r="F98" s="196"/>
      <c r="G98" s="196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</row>
    <row r="99" spans="1:60" ht="22.5" outlineLevel="1" x14ac:dyDescent="0.2">
      <c r="A99" s="184">
        <f>A96+1</f>
        <v>26</v>
      </c>
      <c r="B99" s="185" t="s">
        <v>395</v>
      </c>
      <c r="C99" s="189" t="s">
        <v>396</v>
      </c>
      <c r="D99" s="186" t="s">
        <v>92</v>
      </c>
      <c r="E99" s="187">
        <f>E100</f>
        <v>150</v>
      </c>
      <c r="F99" s="188"/>
      <c r="G99" s="161">
        <f>ROUND(E99*F99,2)</f>
        <v>0</v>
      </c>
      <c r="H99" s="188">
        <v>164.95</v>
      </c>
      <c r="I99" s="161">
        <f>ROUND(E99*H99,2)</f>
        <v>24742.5</v>
      </c>
      <c r="J99" s="188">
        <v>26.05</v>
      </c>
      <c r="K99" s="161">
        <f>ROUND(E99*J99,2)</f>
        <v>3907.5</v>
      </c>
      <c r="L99" s="161">
        <v>21</v>
      </c>
      <c r="M99" s="161">
        <f>G99*(1+L99/100)</f>
        <v>0</v>
      </c>
      <c r="N99" s="161">
        <v>0.378</v>
      </c>
      <c r="O99" s="161">
        <f>ROUND(E99*N99,2)</f>
        <v>56.7</v>
      </c>
      <c r="P99" s="161">
        <v>0</v>
      </c>
      <c r="Q99" s="161">
        <f>ROUND(E99*P99,2)</f>
        <v>0</v>
      </c>
      <c r="R99" s="161" t="s">
        <v>98</v>
      </c>
      <c r="S99" s="161" t="s">
        <v>161</v>
      </c>
      <c r="T99" s="161" t="s">
        <v>161</v>
      </c>
      <c r="U99" s="138"/>
      <c r="V99" s="138"/>
      <c r="W99" s="138"/>
      <c r="X99" s="138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</row>
    <row r="100" spans="1:60" outlineLevel="1" x14ac:dyDescent="0.2">
      <c r="A100" s="183"/>
      <c r="B100" s="165"/>
      <c r="C100" s="211" t="s">
        <v>439</v>
      </c>
      <c r="D100" s="212"/>
      <c r="E100" s="213">
        <v>150</v>
      </c>
      <c r="F100" s="210"/>
      <c r="G100" s="210"/>
      <c r="H100" s="138"/>
      <c r="I100" s="138"/>
      <c r="J100" s="138"/>
      <c r="K100" s="138"/>
      <c r="L100" s="138"/>
      <c r="M100" s="138"/>
      <c r="N100" s="138"/>
      <c r="O100" s="138"/>
      <c r="P100" s="138"/>
      <c r="Q100" s="138"/>
      <c r="R100" s="138"/>
      <c r="S100" s="138"/>
      <c r="T100" s="138"/>
      <c r="U100" s="138"/>
      <c r="V100" s="138"/>
      <c r="W100" s="138"/>
      <c r="X100" s="138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</row>
    <row r="101" spans="1:60" outlineLevel="1" x14ac:dyDescent="0.2">
      <c r="A101" s="183"/>
      <c r="B101" s="165"/>
      <c r="C101" s="195"/>
      <c r="D101" s="196"/>
      <c r="E101" s="196"/>
      <c r="F101" s="196"/>
      <c r="G101" s="196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</row>
    <row r="102" spans="1:60" outlineLevel="1" x14ac:dyDescent="0.2">
      <c r="A102" s="184">
        <f>A99+1</f>
        <v>27</v>
      </c>
      <c r="B102" s="185" t="s">
        <v>216</v>
      </c>
      <c r="C102" s="189" t="s">
        <v>215</v>
      </c>
      <c r="D102" s="186" t="s">
        <v>92</v>
      </c>
      <c r="E102" s="187">
        <f>E104</f>
        <v>1081</v>
      </c>
      <c r="F102" s="188"/>
      <c r="G102" s="161">
        <f>ROUND(E102*F102,2)</f>
        <v>0</v>
      </c>
      <c r="H102" s="188">
        <v>51.16</v>
      </c>
      <c r="I102" s="161">
        <f>ROUND(E102*H102,2)</f>
        <v>55303.96</v>
      </c>
      <c r="J102" s="188">
        <v>238.34</v>
      </c>
      <c r="K102" s="161">
        <f>ROUND(E102*J102,2)</f>
        <v>257645.54</v>
      </c>
      <c r="L102" s="161">
        <v>21</v>
      </c>
      <c r="M102" s="161">
        <f>G102*(1+L102/100)</f>
        <v>0</v>
      </c>
      <c r="N102" s="161">
        <v>9.2799999999999994E-2</v>
      </c>
      <c r="O102" s="161">
        <f>ROUND(E102*N102,2)</f>
        <v>100.32</v>
      </c>
      <c r="P102" s="161">
        <v>0</v>
      </c>
      <c r="Q102" s="161">
        <f>ROUND(E102*P102,2)</f>
        <v>0</v>
      </c>
      <c r="R102" s="161" t="s">
        <v>98</v>
      </c>
      <c r="S102" s="161" t="s">
        <v>161</v>
      </c>
      <c r="T102" s="161" t="s">
        <v>161</v>
      </c>
      <c r="U102" s="138"/>
      <c r="V102" s="138"/>
      <c r="W102" s="138"/>
      <c r="X102" s="138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</row>
    <row r="103" spans="1:60" ht="24.75" customHeight="1" outlineLevel="1" x14ac:dyDescent="0.2">
      <c r="A103" s="183"/>
      <c r="B103" s="165"/>
      <c r="C103" s="309" t="s">
        <v>236</v>
      </c>
      <c r="D103" s="310"/>
      <c r="E103" s="310"/>
      <c r="F103" s="310"/>
      <c r="G103" s="310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</row>
    <row r="104" spans="1:60" ht="12.75" customHeight="1" outlineLevel="1" x14ac:dyDescent="0.2">
      <c r="A104" s="183"/>
      <c r="B104" s="165"/>
      <c r="C104" s="211" t="s">
        <v>442</v>
      </c>
      <c r="D104" s="212"/>
      <c r="E104" s="213">
        <f>1035+46</f>
        <v>1081</v>
      </c>
      <c r="F104" s="210"/>
      <c r="G104" s="210"/>
      <c r="H104" s="138"/>
      <c r="I104" s="138"/>
      <c r="J104" s="138"/>
      <c r="K104" s="138"/>
      <c r="L104" s="138"/>
      <c r="M104" s="138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</row>
    <row r="105" spans="1:60" outlineLevel="1" x14ac:dyDescent="0.2">
      <c r="A105" s="183"/>
      <c r="B105" s="165"/>
      <c r="C105" s="195"/>
      <c r="D105" s="196"/>
      <c r="E105" s="196"/>
      <c r="F105" s="196"/>
      <c r="G105" s="196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</row>
    <row r="106" spans="1:60" outlineLevel="1" x14ac:dyDescent="0.2">
      <c r="A106" s="184">
        <f>A102+1</f>
        <v>28</v>
      </c>
      <c r="B106" s="214" t="s">
        <v>218</v>
      </c>
      <c r="C106" s="215" t="s">
        <v>217</v>
      </c>
      <c r="D106" s="186" t="s">
        <v>92</v>
      </c>
      <c r="E106" s="187">
        <f>1095*0.96</f>
        <v>1051.2</v>
      </c>
      <c r="F106" s="188"/>
      <c r="G106" s="161">
        <f>ROUND(E106*F106,2)</f>
        <v>0</v>
      </c>
      <c r="H106" s="188">
        <v>51.16</v>
      </c>
      <c r="I106" s="161">
        <f>ROUND(E106*H106,2)</f>
        <v>53779.39</v>
      </c>
      <c r="J106" s="188">
        <v>238.34</v>
      </c>
      <c r="K106" s="161">
        <f>ROUND(E106*J106,2)</f>
        <v>250543.01</v>
      </c>
      <c r="L106" s="161">
        <v>21</v>
      </c>
      <c r="M106" s="161">
        <f>G106*(1+L106/100)</f>
        <v>0</v>
      </c>
      <c r="N106" s="161">
        <v>9.2799999999999994E-2</v>
      </c>
      <c r="O106" s="161">
        <f>ROUND(E106*N106,2)</f>
        <v>97.55</v>
      </c>
      <c r="P106" s="161">
        <v>0</v>
      </c>
      <c r="Q106" s="161">
        <f>ROUND(E106*P106,2)</f>
        <v>0</v>
      </c>
      <c r="R106" s="161" t="s">
        <v>98</v>
      </c>
      <c r="S106" s="161" t="s">
        <v>161</v>
      </c>
      <c r="T106" s="161" t="s">
        <v>161</v>
      </c>
      <c r="U106" s="138"/>
      <c r="V106" s="138"/>
      <c r="W106" s="138"/>
      <c r="X106" s="138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</row>
    <row r="107" spans="1:60" outlineLevel="1" x14ac:dyDescent="0.2">
      <c r="A107" s="183"/>
      <c r="B107" s="165"/>
      <c r="C107" s="195"/>
      <c r="D107" s="196"/>
      <c r="E107" s="196"/>
      <c r="F107" s="196"/>
      <c r="G107" s="196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</row>
    <row r="108" spans="1:60" outlineLevel="1" x14ac:dyDescent="0.2">
      <c r="A108" s="184">
        <f>A106+1</f>
        <v>29</v>
      </c>
      <c r="B108" s="214" t="s">
        <v>219</v>
      </c>
      <c r="C108" s="215" t="s">
        <v>220</v>
      </c>
      <c r="D108" s="186" t="s">
        <v>92</v>
      </c>
      <c r="E108" s="187">
        <v>6.72</v>
      </c>
      <c r="F108" s="188"/>
      <c r="G108" s="161">
        <f>ROUND(E108*F108,2)</f>
        <v>0</v>
      </c>
      <c r="H108" s="188">
        <v>51.16</v>
      </c>
      <c r="I108" s="161">
        <f>ROUND(E108*H108,2)</f>
        <v>343.8</v>
      </c>
      <c r="J108" s="188">
        <v>238.34</v>
      </c>
      <c r="K108" s="161">
        <f>ROUND(E108*J108,2)</f>
        <v>1601.64</v>
      </c>
      <c r="L108" s="161">
        <v>21</v>
      </c>
      <c r="M108" s="161">
        <f>G108*(1+L108/100)</f>
        <v>0</v>
      </c>
      <c r="N108" s="161">
        <v>9.2799999999999994E-2</v>
      </c>
      <c r="O108" s="161">
        <f>ROUND(E108*N108,2)</f>
        <v>0.62</v>
      </c>
      <c r="P108" s="161">
        <v>0</v>
      </c>
      <c r="Q108" s="161">
        <f>ROUND(E108*P108,2)</f>
        <v>0</v>
      </c>
      <c r="R108" s="161" t="s">
        <v>98</v>
      </c>
      <c r="S108" s="161" t="s">
        <v>161</v>
      </c>
      <c r="T108" s="161" t="s">
        <v>161</v>
      </c>
      <c r="U108" s="138"/>
      <c r="V108" s="138"/>
      <c r="W108" s="138"/>
      <c r="X108" s="138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</row>
    <row r="109" spans="1:60" outlineLevel="1" x14ac:dyDescent="0.2">
      <c r="A109" s="183"/>
      <c r="B109" s="165"/>
      <c r="C109" s="195"/>
      <c r="D109" s="196"/>
      <c r="E109" s="196"/>
      <c r="F109" s="196"/>
      <c r="G109" s="196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</row>
    <row r="110" spans="1:60" outlineLevel="1" x14ac:dyDescent="0.2">
      <c r="A110" s="184">
        <f>A108+1</f>
        <v>30</v>
      </c>
      <c r="B110" s="185" t="s">
        <v>222</v>
      </c>
      <c r="C110" s="189" t="s">
        <v>221</v>
      </c>
      <c r="D110" s="186" t="s">
        <v>92</v>
      </c>
      <c r="E110" s="187">
        <f>E112</f>
        <v>1257</v>
      </c>
      <c r="F110" s="188"/>
      <c r="G110" s="161">
        <f>ROUND(E110*F110,2)</f>
        <v>0</v>
      </c>
      <c r="H110" s="188">
        <v>51.16</v>
      </c>
      <c r="I110" s="161">
        <f>ROUND(E110*H110,2)</f>
        <v>64308.12</v>
      </c>
      <c r="J110" s="188">
        <v>238.34</v>
      </c>
      <c r="K110" s="161">
        <f>ROUND(E110*J110,2)</f>
        <v>299593.38</v>
      </c>
      <c r="L110" s="161">
        <v>21</v>
      </c>
      <c r="M110" s="161">
        <f>G110*(1+L110/100)</f>
        <v>0</v>
      </c>
      <c r="N110" s="161">
        <v>9.2799999999999994E-2</v>
      </c>
      <c r="O110" s="161">
        <f>ROUND(E110*N110,2)</f>
        <v>116.65</v>
      </c>
      <c r="P110" s="161">
        <v>0</v>
      </c>
      <c r="Q110" s="161">
        <f>ROUND(E110*P110,2)</f>
        <v>0</v>
      </c>
      <c r="R110" s="161" t="s">
        <v>98</v>
      </c>
      <c r="S110" s="161" t="s">
        <v>161</v>
      </c>
      <c r="T110" s="161" t="s">
        <v>161</v>
      </c>
      <c r="U110" s="138"/>
      <c r="V110" s="138"/>
      <c r="W110" s="138"/>
      <c r="X110" s="138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</row>
    <row r="111" spans="1:60" ht="24" customHeight="1" outlineLevel="1" x14ac:dyDescent="0.2">
      <c r="A111" s="183"/>
      <c r="B111" s="165"/>
      <c r="C111" s="309" t="s">
        <v>133</v>
      </c>
      <c r="D111" s="310"/>
      <c r="E111" s="310"/>
      <c r="F111" s="310"/>
      <c r="G111" s="310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</row>
    <row r="112" spans="1:60" outlineLevel="1" x14ac:dyDescent="0.2">
      <c r="A112" s="183"/>
      <c r="B112" s="165"/>
      <c r="C112" s="211" t="s">
        <v>443</v>
      </c>
      <c r="D112" s="212"/>
      <c r="E112" s="213">
        <f>690+77+490</f>
        <v>1257</v>
      </c>
      <c r="F112" s="210"/>
      <c r="G112" s="210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</row>
    <row r="113" spans="1:60" outlineLevel="1" x14ac:dyDescent="0.2">
      <c r="A113" s="183"/>
      <c r="B113" s="165"/>
      <c r="C113" s="195"/>
      <c r="D113" s="196"/>
      <c r="E113" s="196"/>
      <c r="F113" s="196"/>
      <c r="G113" s="196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</row>
    <row r="114" spans="1:60" ht="12.75" customHeight="1" outlineLevel="1" x14ac:dyDescent="0.2">
      <c r="A114" s="184">
        <f>A110+1</f>
        <v>31</v>
      </c>
      <c r="B114" s="214" t="s">
        <v>223</v>
      </c>
      <c r="C114" s="215" t="s">
        <v>225</v>
      </c>
      <c r="D114" s="186" t="s">
        <v>92</v>
      </c>
      <c r="E114" s="187">
        <f>1255*0.96</f>
        <v>1204.8</v>
      </c>
      <c r="F114" s="188"/>
      <c r="G114" s="161">
        <f>ROUND(E114*F114,2)</f>
        <v>0</v>
      </c>
      <c r="H114" s="188">
        <v>51.16</v>
      </c>
      <c r="I114" s="161">
        <f>ROUND(E114*H114,2)</f>
        <v>61637.57</v>
      </c>
      <c r="J114" s="188">
        <v>238.34</v>
      </c>
      <c r="K114" s="161">
        <f>ROUND(E114*J114,2)</f>
        <v>287152.03000000003</v>
      </c>
      <c r="L114" s="161">
        <v>21</v>
      </c>
      <c r="M114" s="161">
        <f>G114*(1+L114/100)</f>
        <v>0</v>
      </c>
      <c r="N114" s="161">
        <v>9.2799999999999994E-2</v>
      </c>
      <c r="O114" s="161">
        <f>ROUND(E114*N114,2)</f>
        <v>111.81</v>
      </c>
      <c r="P114" s="161">
        <v>0</v>
      </c>
      <c r="Q114" s="161">
        <f>ROUND(E114*P114,2)</f>
        <v>0</v>
      </c>
      <c r="R114" s="161" t="s">
        <v>98</v>
      </c>
      <c r="S114" s="161" t="s">
        <v>161</v>
      </c>
      <c r="T114" s="161" t="s">
        <v>161</v>
      </c>
      <c r="U114" s="138"/>
      <c r="V114" s="138"/>
      <c r="W114" s="138"/>
      <c r="X114" s="138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</row>
    <row r="115" spans="1:60" outlineLevel="1" x14ac:dyDescent="0.2">
      <c r="A115" s="183"/>
      <c r="B115" s="165"/>
      <c r="C115" s="195"/>
      <c r="D115" s="196"/>
      <c r="E115" s="196"/>
      <c r="F115" s="196"/>
      <c r="G115" s="196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</row>
    <row r="116" spans="1:60" outlineLevel="1" x14ac:dyDescent="0.2">
      <c r="A116" s="184">
        <f>A114+1</f>
        <v>32</v>
      </c>
      <c r="B116" s="214" t="s">
        <v>224</v>
      </c>
      <c r="C116" s="215" t="s">
        <v>226</v>
      </c>
      <c r="D116" s="186" t="s">
        <v>92</v>
      </c>
      <c r="E116" s="187">
        <f>82*0.96</f>
        <v>78.72</v>
      </c>
      <c r="F116" s="188"/>
      <c r="G116" s="161">
        <f>ROUND(E116*F116,2)</f>
        <v>0</v>
      </c>
      <c r="H116" s="188">
        <v>51.16</v>
      </c>
      <c r="I116" s="161">
        <f>ROUND(E116*H116,2)</f>
        <v>4027.32</v>
      </c>
      <c r="J116" s="188">
        <v>238.34</v>
      </c>
      <c r="K116" s="161">
        <f>ROUND(E116*J116,2)</f>
        <v>18762.12</v>
      </c>
      <c r="L116" s="161">
        <v>21</v>
      </c>
      <c r="M116" s="161">
        <f>G116*(1+L116/100)</f>
        <v>0</v>
      </c>
      <c r="N116" s="161">
        <v>9.2799999999999994E-2</v>
      </c>
      <c r="O116" s="161">
        <f>ROUND(E116*N116,2)</f>
        <v>7.31</v>
      </c>
      <c r="P116" s="161">
        <v>0</v>
      </c>
      <c r="Q116" s="161">
        <f>ROUND(E116*P116,2)</f>
        <v>0</v>
      </c>
      <c r="R116" s="161" t="s">
        <v>98</v>
      </c>
      <c r="S116" s="161" t="s">
        <v>161</v>
      </c>
      <c r="T116" s="161" t="s">
        <v>161</v>
      </c>
      <c r="U116" s="138"/>
      <c r="V116" s="138"/>
      <c r="W116" s="138"/>
      <c r="X116" s="138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</row>
    <row r="117" spans="1:60" outlineLevel="1" x14ac:dyDescent="0.2">
      <c r="A117" s="183"/>
      <c r="B117" s="165"/>
      <c r="C117" s="195"/>
      <c r="D117" s="196"/>
      <c r="E117" s="196"/>
      <c r="F117" s="196"/>
      <c r="G117" s="196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</row>
    <row r="118" spans="1:60" outlineLevel="1" x14ac:dyDescent="0.2">
      <c r="A118" s="184">
        <f>A116+1</f>
        <v>33</v>
      </c>
      <c r="B118" s="185" t="s">
        <v>390</v>
      </c>
      <c r="C118" s="189" t="s">
        <v>389</v>
      </c>
      <c r="D118" s="186" t="s">
        <v>92</v>
      </c>
      <c r="E118" s="187">
        <v>150</v>
      </c>
      <c r="F118" s="188"/>
      <c r="G118" s="161">
        <f>ROUND(E118*F118,2)</f>
        <v>0</v>
      </c>
      <c r="H118" s="188">
        <v>51.16</v>
      </c>
      <c r="I118" s="161">
        <f>ROUND(E118*H118,2)</f>
        <v>7674</v>
      </c>
      <c r="J118" s="188">
        <v>238.34</v>
      </c>
      <c r="K118" s="161">
        <f>ROUND(E118*J118,2)</f>
        <v>35751</v>
      </c>
      <c r="L118" s="161">
        <v>21</v>
      </c>
      <c r="M118" s="161">
        <f>G118*(1+L118/100)</f>
        <v>0</v>
      </c>
      <c r="N118" s="161">
        <v>9.2799999999999994E-2</v>
      </c>
      <c r="O118" s="161">
        <f>ROUND(E118*N118,2)</f>
        <v>13.92</v>
      </c>
      <c r="P118" s="161">
        <v>0</v>
      </c>
      <c r="Q118" s="161">
        <f>ROUND(E118*P118,2)</f>
        <v>0</v>
      </c>
      <c r="R118" s="161" t="s">
        <v>98</v>
      </c>
      <c r="S118" s="161" t="s">
        <v>161</v>
      </c>
      <c r="T118" s="161" t="s">
        <v>161</v>
      </c>
      <c r="U118" s="138"/>
      <c r="V118" s="138"/>
      <c r="W118" s="138"/>
      <c r="X118" s="138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</row>
    <row r="119" spans="1:60" outlineLevel="1" x14ac:dyDescent="0.2">
      <c r="A119" s="183"/>
      <c r="B119" s="165"/>
      <c r="C119" s="309" t="s">
        <v>394</v>
      </c>
      <c r="D119" s="310"/>
      <c r="E119" s="310"/>
      <c r="F119" s="310"/>
      <c r="G119" s="310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</row>
    <row r="120" spans="1:60" outlineLevel="1" x14ac:dyDescent="0.2">
      <c r="A120" s="183"/>
      <c r="B120" s="165"/>
      <c r="C120" s="211" t="s">
        <v>439</v>
      </c>
      <c r="D120" s="212"/>
      <c r="E120" s="213">
        <v>150</v>
      </c>
      <c r="F120" s="210"/>
      <c r="G120" s="210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</row>
    <row r="121" spans="1:60" outlineLevel="1" x14ac:dyDescent="0.2">
      <c r="A121" s="183"/>
      <c r="B121" s="165"/>
      <c r="C121" s="195"/>
      <c r="D121" s="196"/>
      <c r="E121" s="196"/>
      <c r="F121" s="196"/>
      <c r="G121" s="196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</row>
    <row r="122" spans="1:60" outlineLevel="1" x14ac:dyDescent="0.2">
      <c r="A122" s="184">
        <f>A118+1</f>
        <v>34</v>
      </c>
      <c r="B122" s="214" t="s">
        <v>393</v>
      </c>
      <c r="C122" s="215" t="s">
        <v>392</v>
      </c>
      <c r="D122" s="186" t="s">
        <v>92</v>
      </c>
      <c r="E122" s="187">
        <v>150</v>
      </c>
      <c r="F122" s="188"/>
      <c r="G122" s="161">
        <f>ROUND(E122*F122,2)</f>
        <v>0</v>
      </c>
      <c r="H122" s="188">
        <v>51.16</v>
      </c>
      <c r="I122" s="161">
        <f>ROUND(E122*H122,2)</f>
        <v>7674</v>
      </c>
      <c r="J122" s="188">
        <v>238.34</v>
      </c>
      <c r="K122" s="161">
        <f>ROUND(E122*J122,2)</f>
        <v>35751</v>
      </c>
      <c r="L122" s="161">
        <v>21</v>
      </c>
      <c r="M122" s="161">
        <f>G122*(1+L122/100)</f>
        <v>0</v>
      </c>
      <c r="N122" s="161">
        <v>9.2799999999999994E-2</v>
      </c>
      <c r="O122" s="161">
        <f>ROUND(E122*N122,2)</f>
        <v>13.92</v>
      </c>
      <c r="P122" s="161">
        <v>0</v>
      </c>
      <c r="Q122" s="161">
        <f>ROUND(E122*P122,2)</f>
        <v>0</v>
      </c>
      <c r="R122" s="161" t="s">
        <v>98</v>
      </c>
      <c r="S122" s="161" t="s">
        <v>161</v>
      </c>
      <c r="T122" s="161" t="s">
        <v>161</v>
      </c>
      <c r="U122" s="138"/>
      <c r="V122" s="138"/>
      <c r="W122" s="138"/>
      <c r="X122" s="138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</row>
    <row r="123" spans="1:60" outlineLevel="1" x14ac:dyDescent="0.2">
      <c r="A123" s="183"/>
      <c r="B123" s="165"/>
      <c r="C123" s="195"/>
      <c r="D123" s="196"/>
      <c r="E123" s="196"/>
      <c r="F123" s="196"/>
      <c r="G123" s="196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</row>
    <row r="124" spans="1:60" ht="22.5" outlineLevel="1" x14ac:dyDescent="0.2">
      <c r="A124" s="184">
        <f>A122+1</f>
        <v>35</v>
      </c>
      <c r="B124" s="185" t="s">
        <v>229</v>
      </c>
      <c r="C124" s="189" t="s">
        <v>231</v>
      </c>
      <c r="D124" s="186" t="s">
        <v>92</v>
      </c>
      <c r="E124" s="187">
        <f>E126</f>
        <v>4420</v>
      </c>
      <c r="F124" s="188"/>
      <c r="G124" s="161">
        <f>ROUND(E124*F124,2)</f>
        <v>0</v>
      </c>
      <c r="H124" s="138"/>
      <c r="I124" s="138"/>
      <c r="J124" s="138"/>
      <c r="K124" s="138"/>
      <c r="L124" s="161">
        <v>21</v>
      </c>
      <c r="M124" s="161">
        <f>G124*(1+L124/100)</f>
        <v>0</v>
      </c>
      <c r="N124" s="161">
        <v>0.17599999999999999</v>
      </c>
      <c r="O124" s="161">
        <f>ROUND(E124*N124,2)</f>
        <v>777.92</v>
      </c>
      <c r="P124" s="161">
        <v>0</v>
      </c>
      <c r="Q124" s="161">
        <f>ROUND(E124*P124,2)</f>
        <v>0</v>
      </c>
      <c r="R124" s="161" t="s">
        <v>134</v>
      </c>
      <c r="S124" s="161" t="s">
        <v>161</v>
      </c>
      <c r="T124" s="162" t="s">
        <v>95</v>
      </c>
      <c r="U124" s="138"/>
      <c r="V124" s="138"/>
      <c r="W124" s="138"/>
      <c r="X124" s="138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</row>
    <row r="125" spans="1:60" outlineLevel="1" x14ac:dyDescent="0.2">
      <c r="A125" s="183"/>
      <c r="B125" s="165"/>
      <c r="C125" s="194" t="s">
        <v>230</v>
      </c>
      <c r="D125" s="151"/>
      <c r="E125" s="152"/>
      <c r="F125" s="160"/>
      <c r="G125" s="153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</row>
    <row r="126" spans="1:60" outlineLevel="1" x14ac:dyDescent="0.2">
      <c r="A126" s="183"/>
      <c r="B126" s="165"/>
      <c r="C126" s="211">
        <v>4420</v>
      </c>
      <c r="D126" s="212"/>
      <c r="E126" s="213">
        <v>4420</v>
      </c>
      <c r="F126" s="210"/>
      <c r="G126" s="210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</row>
    <row r="127" spans="1:60" outlineLevel="1" x14ac:dyDescent="0.2">
      <c r="A127" s="183"/>
      <c r="B127" s="165"/>
      <c r="C127" s="195"/>
      <c r="D127" s="196"/>
      <c r="E127" s="196"/>
      <c r="F127" s="196"/>
      <c r="G127" s="196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</row>
    <row r="128" spans="1:60" ht="22.5" outlineLevel="1" x14ac:dyDescent="0.2">
      <c r="A128" s="184">
        <f>A124+1</f>
        <v>36</v>
      </c>
      <c r="B128" s="185" t="s">
        <v>235</v>
      </c>
      <c r="C128" s="189" t="s">
        <v>234</v>
      </c>
      <c r="D128" s="186" t="s">
        <v>92</v>
      </c>
      <c r="E128" s="187">
        <f>E132</f>
        <v>4420</v>
      </c>
      <c r="F128" s="188"/>
      <c r="G128" s="161">
        <f>ROUND(E128*F128,2)</f>
        <v>0</v>
      </c>
      <c r="H128" s="138"/>
      <c r="I128" s="138"/>
      <c r="J128" s="138"/>
      <c r="K128" s="138"/>
      <c r="L128" s="161">
        <v>21</v>
      </c>
      <c r="M128" s="161">
        <f>G128*(1+L128/100)</f>
        <v>0</v>
      </c>
      <c r="N128" s="161">
        <v>0.17599999999999999</v>
      </c>
      <c r="O128" s="161">
        <f>ROUND(E128*N128,2)</f>
        <v>777.92</v>
      </c>
      <c r="P128" s="161">
        <v>0</v>
      </c>
      <c r="Q128" s="161">
        <f>ROUND(E128*P128,2)</f>
        <v>0</v>
      </c>
      <c r="R128" s="161" t="s">
        <v>134</v>
      </c>
      <c r="S128" s="161" t="s">
        <v>161</v>
      </c>
      <c r="T128" s="162" t="s">
        <v>95</v>
      </c>
      <c r="U128" s="138"/>
      <c r="V128" s="138"/>
      <c r="W128" s="138"/>
      <c r="X128" s="138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</row>
    <row r="129" spans="1:60" outlineLevel="1" x14ac:dyDescent="0.2">
      <c r="A129" s="183"/>
      <c r="B129" s="165"/>
      <c r="C129" s="195"/>
      <c r="D129" s="196"/>
      <c r="E129" s="196"/>
      <c r="F129" s="196"/>
      <c r="G129" s="196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</row>
    <row r="130" spans="1:60" ht="22.5" outlineLevel="1" x14ac:dyDescent="0.2">
      <c r="A130" s="184">
        <f>A128+1</f>
        <v>37</v>
      </c>
      <c r="B130" s="185" t="s">
        <v>233</v>
      </c>
      <c r="C130" s="189" t="s">
        <v>232</v>
      </c>
      <c r="D130" s="186" t="s">
        <v>92</v>
      </c>
      <c r="E130" s="187">
        <f>E132</f>
        <v>4420</v>
      </c>
      <c r="F130" s="188"/>
      <c r="G130" s="161">
        <f>ROUND(E130*F130,2)</f>
        <v>0</v>
      </c>
      <c r="H130" s="138"/>
      <c r="I130" s="138"/>
      <c r="J130" s="138"/>
      <c r="K130" s="138"/>
      <c r="L130" s="161">
        <v>21</v>
      </c>
      <c r="M130" s="161">
        <f>G130*(1+L130/100)</f>
        <v>0</v>
      </c>
      <c r="N130" s="161">
        <v>0.17599999999999999</v>
      </c>
      <c r="O130" s="161">
        <f>ROUND(E130*N130,2)</f>
        <v>777.92</v>
      </c>
      <c r="P130" s="161">
        <v>0</v>
      </c>
      <c r="Q130" s="161">
        <f>ROUND(E130*P130,2)</f>
        <v>0</v>
      </c>
      <c r="R130" s="161" t="s">
        <v>134</v>
      </c>
      <c r="S130" s="161" t="s">
        <v>161</v>
      </c>
      <c r="T130" s="162" t="s">
        <v>95</v>
      </c>
      <c r="U130" s="138"/>
      <c r="V130" s="138"/>
      <c r="W130" s="138"/>
      <c r="X130" s="138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</row>
    <row r="131" spans="1:60" outlineLevel="1" x14ac:dyDescent="0.2">
      <c r="A131" s="183"/>
      <c r="B131" s="165"/>
      <c r="C131" s="194" t="s">
        <v>230</v>
      </c>
      <c r="D131" s="151"/>
      <c r="E131" s="152"/>
      <c r="F131" s="160"/>
      <c r="G131" s="153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</row>
    <row r="132" spans="1:60" outlineLevel="1" x14ac:dyDescent="0.2">
      <c r="A132" s="183"/>
      <c r="B132" s="165"/>
      <c r="C132" s="211">
        <v>4420</v>
      </c>
      <c r="D132" s="212"/>
      <c r="E132" s="213">
        <v>4420</v>
      </c>
      <c r="F132" s="210"/>
      <c r="G132" s="210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</row>
    <row r="133" spans="1:60" outlineLevel="1" x14ac:dyDescent="0.2">
      <c r="A133" s="183"/>
      <c r="B133" s="165"/>
      <c r="C133" s="195"/>
      <c r="D133" s="196"/>
      <c r="E133" s="196"/>
      <c r="F133" s="196"/>
      <c r="G133" s="196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</row>
    <row r="134" spans="1:60" outlineLevel="1" x14ac:dyDescent="0.2">
      <c r="A134" s="140" t="s">
        <v>88</v>
      </c>
      <c r="B134" s="141" t="s">
        <v>55</v>
      </c>
      <c r="C134" s="147" t="s">
        <v>56</v>
      </c>
      <c r="D134" s="142"/>
      <c r="E134" s="143"/>
      <c r="F134" s="144"/>
      <c r="G134" s="144">
        <f>SUMIF(AG135:AG206,"&lt;&gt;NOR",G135:G206)</f>
        <v>0</v>
      </c>
      <c r="H134" s="144"/>
      <c r="I134" s="144">
        <f>SUM(I176:I206)</f>
        <v>1481066.62</v>
      </c>
      <c r="J134" s="144"/>
      <c r="K134" s="144">
        <f>SUM(K176:K206)</f>
        <v>457893.27999999997</v>
      </c>
      <c r="L134" s="144"/>
      <c r="M134" s="144">
        <f>SUMIF(AM135:AM206,"&lt;&gt;NOR",M135:M206)</f>
        <v>0</v>
      </c>
      <c r="N134" s="144"/>
      <c r="O134" s="144">
        <f>SUM(O176:O206)</f>
        <v>907.53</v>
      </c>
      <c r="P134" s="144"/>
      <c r="Q134" s="144">
        <f>SUM(Q176:Q206)</f>
        <v>0</v>
      </c>
      <c r="R134" s="144"/>
      <c r="S134" s="144"/>
      <c r="T134" s="145"/>
      <c r="U134" s="138"/>
      <c r="V134" s="138"/>
      <c r="W134" s="138"/>
      <c r="X134" s="138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</row>
    <row r="135" spans="1:60" outlineLevel="1" x14ac:dyDescent="0.2">
      <c r="A135" s="184">
        <f>A130+1</f>
        <v>38</v>
      </c>
      <c r="B135" s="185" t="s">
        <v>243</v>
      </c>
      <c r="C135" s="189" t="s">
        <v>244</v>
      </c>
      <c r="D135" s="186" t="s">
        <v>91</v>
      </c>
      <c r="E135" s="187">
        <v>12</v>
      </c>
      <c r="F135" s="188"/>
      <c r="G135" s="161">
        <f>ROUND(E135*F135,2)</f>
        <v>0</v>
      </c>
      <c r="H135" s="188">
        <v>339.99</v>
      </c>
      <c r="I135" s="161">
        <f>ROUND(E135*H135,2)</f>
        <v>4079.88</v>
      </c>
      <c r="J135" s="188">
        <v>352.01</v>
      </c>
      <c r="K135" s="161">
        <f>ROUND(E135*J135,2)</f>
        <v>4224.12</v>
      </c>
      <c r="L135" s="161">
        <v>21</v>
      </c>
      <c r="M135" s="161">
        <f>G135*(1+L135/100)</f>
        <v>0</v>
      </c>
      <c r="N135" s="161">
        <v>0.25080000000000002</v>
      </c>
      <c r="O135" s="161">
        <f>ROUND(E135*N135,2)</f>
        <v>3.01</v>
      </c>
      <c r="P135" s="161">
        <v>0</v>
      </c>
      <c r="Q135" s="161">
        <f>ROUND(E135*P135,2)</f>
        <v>0</v>
      </c>
      <c r="R135" s="161" t="s">
        <v>98</v>
      </c>
      <c r="S135" s="161" t="s">
        <v>161</v>
      </c>
      <c r="T135" s="161" t="s">
        <v>161</v>
      </c>
      <c r="U135" s="138"/>
      <c r="V135" s="138"/>
      <c r="W135" s="138"/>
      <c r="X135" s="138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</row>
    <row r="136" spans="1:60" outlineLevel="1" x14ac:dyDescent="0.2">
      <c r="A136" s="183"/>
      <c r="B136" s="165"/>
      <c r="C136" s="322"/>
      <c r="D136" s="323"/>
      <c r="E136" s="323"/>
      <c r="F136" s="323"/>
      <c r="G136" s="323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</row>
    <row r="137" spans="1:60" outlineLevel="1" x14ac:dyDescent="0.2">
      <c r="A137" s="184">
        <f>A135+1</f>
        <v>39</v>
      </c>
      <c r="B137" s="185" t="s">
        <v>243</v>
      </c>
      <c r="C137" s="189" t="s">
        <v>245</v>
      </c>
      <c r="D137" s="186" t="s">
        <v>91</v>
      </c>
      <c r="E137" s="187">
        <v>12</v>
      </c>
      <c r="F137" s="188"/>
      <c r="G137" s="161">
        <f>ROUND(E137*F137,2)</f>
        <v>0</v>
      </c>
      <c r="H137" s="188">
        <v>339.99</v>
      </c>
      <c r="I137" s="161">
        <f>ROUND(E137*H137,2)</f>
        <v>4079.88</v>
      </c>
      <c r="J137" s="188">
        <v>352.01</v>
      </c>
      <c r="K137" s="161">
        <f>ROUND(E137*J137,2)</f>
        <v>4224.12</v>
      </c>
      <c r="L137" s="161">
        <v>21</v>
      </c>
      <c r="M137" s="161">
        <f>G137*(1+L137/100)</f>
        <v>0</v>
      </c>
      <c r="N137" s="161">
        <v>0.25080000000000002</v>
      </c>
      <c r="O137" s="161">
        <f>ROUND(E137*N137,2)</f>
        <v>3.01</v>
      </c>
      <c r="P137" s="161">
        <v>0</v>
      </c>
      <c r="Q137" s="161">
        <f>ROUND(E137*P137,2)</f>
        <v>0</v>
      </c>
      <c r="R137" s="161" t="s">
        <v>98</v>
      </c>
      <c r="S137" s="161" t="s">
        <v>161</v>
      </c>
      <c r="T137" s="161" t="s">
        <v>161</v>
      </c>
      <c r="U137" s="138"/>
      <c r="V137" s="138"/>
      <c r="W137" s="138"/>
      <c r="X137" s="138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</row>
    <row r="138" spans="1:60" outlineLevel="1" x14ac:dyDescent="0.2">
      <c r="A138" s="183"/>
      <c r="B138" s="165"/>
      <c r="C138" s="195"/>
      <c r="D138" s="196"/>
      <c r="E138" s="196"/>
      <c r="F138" s="196"/>
      <c r="G138" s="196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</row>
    <row r="139" spans="1:60" outlineLevel="1" x14ac:dyDescent="0.2">
      <c r="A139" s="184">
        <f>A137+1</f>
        <v>40</v>
      </c>
      <c r="B139" s="214" t="s">
        <v>412</v>
      </c>
      <c r="C139" s="215" t="s">
        <v>415</v>
      </c>
      <c r="D139" s="186" t="s">
        <v>91</v>
      </c>
      <c r="E139" s="187">
        <v>6</v>
      </c>
      <c r="F139" s="188"/>
      <c r="G139" s="161">
        <f>ROUND(E139*F139,2)</f>
        <v>0</v>
      </c>
      <c r="H139" s="188">
        <v>51.16</v>
      </c>
      <c r="I139" s="161">
        <f>ROUND(E139*H139,2)</f>
        <v>306.95999999999998</v>
      </c>
      <c r="J139" s="188">
        <v>238.34</v>
      </c>
      <c r="K139" s="161">
        <f>ROUND(E139*J139,2)</f>
        <v>1430.04</v>
      </c>
      <c r="L139" s="161">
        <v>21</v>
      </c>
      <c r="M139" s="161">
        <f>G139*(1+L139/100)</f>
        <v>0</v>
      </c>
      <c r="N139" s="161">
        <v>9.2799999999999994E-2</v>
      </c>
      <c r="O139" s="161">
        <f>ROUND(E139*N139,2)</f>
        <v>0.56000000000000005</v>
      </c>
      <c r="P139" s="161">
        <v>0</v>
      </c>
      <c r="Q139" s="161">
        <f>ROUND(E139*P139,2)</f>
        <v>0</v>
      </c>
      <c r="R139" s="161" t="s">
        <v>98</v>
      </c>
      <c r="S139" s="161" t="s">
        <v>161</v>
      </c>
      <c r="T139" s="161" t="s">
        <v>161</v>
      </c>
      <c r="U139" s="138"/>
      <c r="V139" s="138"/>
      <c r="W139" s="138"/>
      <c r="X139" s="138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</row>
    <row r="140" spans="1:60" outlineLevel="1" x14ac:dyDescent="0.2">
      <c r="A140" s="183"/>
      <c r="B140" s="165"/>
      <c r="C140" s="195"/>
      <c r="D140" s="196"/>
      <c r="E140" s="196"/>
      <c r="F140" s="196"/>
      <c r="G140" s="196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</row>
    <row r="141" spans="1:60" outlineLevel="1" x14ac:dyDescent="0.2">
      <c r="A141" s="184">
        <f>A139+1</f>
        <v>41</v>
      </c>
      <c r="B141" s="214" t="s">
        <v>413</v>
      </c>
      <c r="C141" s="215" t="s">
        <v>414</v>
      </c>
      <c r="D141" s="186" t="s">
        <v>91</v>
      </c>
      <c r="E141" s="187">
        <v>3</v>
      </c>
      <c r="F141" s="188"/>
      <c r="G141" s="161">
        <f>ROUND(E141*F141,2)</f>
        <v>0</v>
      </c>
      <c r="H141" s="188">
        <v>51.16</v>
      </c>
      <c r="I141" s="161">
        <f>ROUND(E141*H141,2)</f>
        <v>153.47999999999999</v>
      </c>
      <c r="J141" s="188">
        <v>238.34</v>
      </c>
      <c r="K141" s="161">
        <f>ROUND(E141*J141,2)</f>
        <v>715.02</v>
      </c>
      <c r="L141" s="161">
        <v>21</v>
      </c>
      <c r="M141" s="161">
        <f>G141*(1+L141/100)</f>
        <v>0</v>
      </c>
      <c r="N141" s="161">
        <v>9.2799999999999994E-2</v>
      </c>
      <c r="O141" s="161">
        <f>ROUND(E141*N141,2)</f>
        <v>0.28000000000000003</v>
      </c>
      <c r="P141" s="161">
        <v>0</v>
      </c>
      <c r="Q141" s="161">
        <f>ROUND(E141*P141,2)</f>
        <v>0</v>
      </c>
      <c r="R141" s="161" t="s">
        <v>98</v>
      </c>
      <c r="S141" s="161" t="s">
        <v>161</v>
      </c>
      <c r="T141" s="161" t="s">
        <v>161</v>
      </c>
      <c r="U141" s="138"/>
      <c r="V141" s="138"/>
      <c r="W141" s="138"/>
      <c r="X141" s="138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</row>
    <row r="142" spans="1:60" outlineLevel="1" x14ac:dyDescent="0.2">
      <c r="A142" s="183"/>
      <c r="B142" s="165"/>
      <c r="C142" s="195"/>
      <c r="D142" s="196"/>
      <c r="E142" s="196"/>
      <c r="F142" s="196"/>
      <c r="G142" s="196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</row>
    <row r="143" spans="1:60" outlineLevel="1" x14ac:dyDescent="0.2">
      <c r="A143" s="184">
        <f>A141+1</f>
        <v>42</v>
      </c>
      <c r="B143" s="214" t="s">
        <v>411</v>
      </c>
      <c r="C143" s="215" t="s">
        <v>447</v>
      </c>
      <c r="D143" s="186" t="s">
        <v>91</v>
      </c>
      <c r="E143" s="187">
        <v>1</v>
      </c>
      <c r="F143" s="188"/>
      <c r="G143" s="161">
        <f>ROUND(E143*F143,2)</f>
        <v>0</v>
      </c>
      <c r="H143" s="188">
        <v>51.16</v>
      </c>
      <c r="I143" s="161">
        <f>ROUND(E143*H143,2)</f>
        <v>51.16</v>
      </c>
      <c r="J143" s="188">
        <v>238.34</v>
      </c>
      <c r="K143" s="161">
        <f>ROUND(E143*J143,2)</f>
        <v>238.34</v>
      </c>
      <c r="L143" s="161">
        <v>21</v>
      </c>
      <c r="M143" s="161">
        <f>G143*(1+L143/100)</f>
        <v>0</v>
      </c>
      <c r="N143" s="161">
        <v>9.2799999999999994E-2</v>
      </c>
      <c r="O143" s="161">
        <f>ROUND(E143*N143,2)</f>
        <v>0.09</v>
      </c>
      <c r="P143" s="161">
        <v>0</v>
      </c>
      <c r="Q143" s="161">
        <f>ROUND(E143*P143,2)</f>
        <v>0</v>
      </c>
      <c r="R143" s="161" t="s">
        <v>98</v>
      </c>
      <c r="S143" s="161" t="s">
        <v>161</v>
      </c>
      <c r="T143" s="161" t="s">
        <v>161</v>
      </c>
      <c r="U143" s="138"/>
      <c r="V143" s="138"/>
      <c r="W143" s="138"/>
      <c r="X143" s="138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</row>
    <row r="144" spans="1:60" outlineLevel="1" x14ac:dyDescent="0.2">
      <c r="A144" s="183"/>
      <c r="B144" s="165"/>
      <c r="C144" s="195"/>
      <c r="D144" s="196"/>
      <c r="E144" s="196"/>
      <c r="F144" s="196"/>
      <c r="G144" s="196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</row>
    <row r="145" spans="1:60" outlineLevel="1" x14ac:dyDescent="0.2">
      <c r="A145" s="184">
        <f>A143+1</f>
        <v>43</v>
      </c>
      <c r="B145" s="214" t="s">
        <v>416</v>
      </c>
      <c r="C145" s="215" t="s">
        <v>446</v>
      </c>
      <c r="D145" s="186" t="s">
        <v>91</v>
      </c>
      <c r="E145" s="187">
        <v>1</v>
      </c>
      <c r="F145" s="188"/>
      <c r="G145" s="161">
        <f>ROUND(E145*F145,2)</f>
        <v>0</v>
      </c>
      <c r="H145" s="188">
        <v>51.16</v>
      </c>
      <c r="I145" s="161">
        <f>ROUND(E145*H145,2)</f>
        <v>51.16</v>
      </c>
      <c r="J145" s="188">
        <v>238.34</v>
      </c>
      <c r="K145" s="161">
        <f>ROUND(E145*J145,2)</f>
        <v>238.34</v>
      </c>
      <c r="L145" s="161">
        <v>21</v>
      </c>
      <c r="M145" s="161">
        <f>G145*(1+L145/100)</f>
        <v>0</v>
      </c>
      <c r="N145" s="161">
        <v>9.2799999999999994E-2</v>
      </c>
      <c r="O145" s="161">
        <f>ROUND(E145*N145,2)</f>
        <v>0.09</v>
      </c>
      <c r="P145" s="161">
        <v>0</v>
      </c>
      <c r="Q145" s="161">
        <f>ROUND(E145*P145,2)</f>
        <v>0</v>
      </c>
      <c r="R145" s="161" t="s">
        <v>98</v>
      </c>
      <c r="S145" s="161" t="s">
        <v>161</v>
      </c>
      <c r="T145" s="161" t="s">
        <v>161</v>
      </c>
      <c r="U145" s="138"/>
      <c r="V145" s="138"/>
      <c r="W145" s="138"/>
      <c r="X145" s="138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</row>
    <row r="146" spans="1:60" outlineLevel="1" x14ac:dyDescent="0.2">
      <c r="A146" s="183"/>
      <c r="B146" s="165"/>
      <c r="C146" s="195"/>
      <c r="D146" s="196"/>
      <c r="E146" s="196"/>
      <c r="F146" s="196"/>
      <c r="G146" s="196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</row>
    <row r="147" spans="1:60" outlineLevel="1" x14ac:dyDescent="0.2">
      <c r="A147" s="184">
        <f>A141+1</f>
        <v>42</v>
      </c>
      <c r="B147" s="214" t="s">
        <v>416</v>
      </c>
      <c r="C147" s="215" t="s">
        <v>417</v>
      </c>
      <c r="D147" s="186" t="s">
        <v>91</v>
      </c>
      <c r="E147" s="187">
        <v>11</v>
      </c>
      <c r="F147" s="188"/>
      <c r="G147" s="161">
        <f>ROUND(E147*F147,2)</f>
        <v>0</v>
      </c>
      <c r="H147" s="188">
        <v>51.16</v>
      </c>
      <c r="I147" s="161">
        <f>ROUND(E147*H147,2)</f>
        <v>562.76</v>
      </c>
      <c r="J147" s="188">
        <v>238.34</v>
      </c>
      <c r="K147" s="161">
        <f>ROUND(E147*J147,2)</f>
        <v>2621.74</v>
      </c>
      <c r="L147" s="161">
        <v>21</v>
      </c>
      <c r="M147" s="161">
        <f>G147*(1+L147/100)</f>
        <v>0</v>
      </c>
      <c r="N147" s="161">
        <v>9.2799999999999994E-2</v>
      </c>
      <c r="O147" s="161">
        <f>ROUND(E147*N147,2)</f>
        <v>1.02</v>
      </c>
      <c r="P147" s="161">
        <v>0</v>
      </c>
      <c r="Q147" s="161">
        <f>ROUND(E147*P147,2)</f>
        <v>0</v>
      </c>
      <c r="R147" s="161" t="s">
        <v>98</v>
      </c>
      <c r="S147" s="161" t="s">
        <v>161</v>
      </c>
      <c r="T147" s="161" t="s">
        <v>161</v>
      </c>
      <c r="U147" s="138"/>
      <c r="V147" s="138"/>
      <c r="W147" s="138"/>
      <c r="X147" s="138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</row>
    <row r="148" spans="1:60" outlineLevel="1" x14ac:dyDescent="0.2">
      <c r="A148" s="183"/>
      <c r="B148" s="165"/>
      <c r="C148" s="195"/>
      <c r="D148" s="196"/>
      <c r="E148" s="196"/>
      <c r="F148" s="196"/>
      <c r="G148" s="196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</row>
    <row r="149" spans="1:60" outlineLevel="1" x14ac:dyDescent="0.2">
      <c r="A149" s="184">
        <f>A147+1</f>
        <v>43</v>
      </c>
      <c r="B149" s="214" t="s">
        <v>445</v>
      </c>
      <c r="C149" s="215" t="s">
        <v>418</v>
      </c>
      <c r="D149" s="186" t="s">
        <v>91</v>
      </c>
      <c r="E149" s="187">
        <f>E135*2</f>
        <v>24</v>
      </c>
      <c r="F149" s="188"/>
      <c r="G149" s="161">
        <f>ROUND(E149*F149,2)</f>
        <v>0</v>
      </c>
      <c r="H149" s="188">
        <v>51.16</v>
      </c>
      <c r="I149" s="161">
        <f>ROUND(E149*H149,2)</f>
        <v>1227.8399999999999</v>
      </c>
      <c r="J149" s="188">
        <v>238.34</v>
      </c>
      <c r="K149" s="161">
        <f>ROUND(E149*J149,2)</f>
        <v>5720.16</v>
      </c>
      <c r="L149" s="161">
        <v>21</v>
      </c>
      <c r="M149" s="161">
        <f>G149*(1+L149/100)</f>
        <v>0</v>
      </c>
      <c r="N149" s="161">
        <v>9.2799999999999994E-2</v>
      </c>
      <c r="O149" s="161">
        <f>ROUND(E149*N149,2)</f>
        <v>2.23</v>
      </c>
      <c r="P149" s="161">
        <v>0</v>
      </c>
      <c r="Q149" s="161">
        <f>ROUND(E149*P149,2)</f>
        <v>0</v>
      </c>
      <c r="R149" s="161" t="s">
        <v>98</v>
      </c>
      <c r="S149" s="161" t="s">
        <v>161</v>
      </c>
      <c r="T149" s="161" t="s">
        <v>161</v>
      </c>
      <c r="U149" s="138"/>
      <c r="V149" s="138"/>
      <c r="W149" s="138"/>
      <c r="X149" s="138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</row>
    <row r="150" spans="1:60" outlineLevel="1" x14ac:dyDescent="0.2">
      <c r="A150" s="183"/>
      <c r="B150" s="165"/>
      <c r="C150" s="195"/>
      <c r="D150" s="196"/>
      <c r="E150" s="196"/>
      <c r="F150" s="196"/>
      <c r="G150" s="196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</row>
    <row r="151" spans="1:60" ht="22.5" outlineLevel="1" x14ac:dyDescent="0.2">
      <c r="A151" s="184">
        <f>A149+1</f>
        <v>44</v>
      </c>
      <c r="B151" s="185" t="s">
        <v>246</v>
      </c>
      <c r="C151" s="189" t="s">
        <v>247</v>
      </c>
      <c r="D151" s="186" t="s">
        <v>91</v>
      </c>
      <c r="E151" s="187">
        <v>3</v>
      </c>
      <c r="F151" s="188"/>
      <c r="G151" s="161">
        <f>ROUND(E151*F151,2)</f>
        <v>0</v>
      </c>
      <c r="H151" s="188">
        <v>339.99</v>
      </c>
      <c r="I151" s="161">
        <f>ROUND(E151*H151,2)</f>
        <v>1019.97</v>
      </c>
      <c r="J151" s="188">
        <v>352.01</v>
      </c>
      <c r="K151" s="161">
        <f>ROUND(E151*J151,2)</f>
        <v>1056.03</v>
      </c>
      <c r="L151" s="161">
        <v>21</v>
      </c>
      <c r="M151" s="161">
        <f>G151*(1+L151/100)</f>
        <v>0</v>
      </c>
      <c r="N151" s="161">
        <v>0.25080000000000002</v>
      </c>
      <c r="O151" s="161">
        <f>ROUND(E151*N151,2)</f>
        <v>0.75</v>
      </c>
      <c r="P151" s="161">
        <v>0</v>
      </c>
      <c r="Q151" s="161">
        <f>ROUND(E151*P151,2)</f>
        <v>0</v>
      </c>
      <c r="R151" s="161" t="s">
        <v>98</v>
      </c>
      <c r="S151" s="161" t="s">
        <v>161</v>
      </c>
      <c r="T151" s="161" t="s">
        <v>161</v>
      </c>
      <c r="U151" s="138"/>
      <c r="V151" s="138"/>
      <c r="W151" s="138"/>
      <c r="X151" s="138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</row>
    <row r="152" spans="1:60" outlineLevel="1" x14ac:dyDescent="0.2">
      <c r="A152" s="183"/>
      <c r="B152" s="165"/>
      <c r="C152" s="195"/>
      <c r="D152" s="196"/>
      <c r="E152" s="196"/>
      <c r="F152" s="196"/>
      <c r="G152" s="196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</row>
    <row r="153" spans="1:60" outlineLevel="1" x14ac:dyDescent="0.2">
      <c r="A153" s="184">
        <f>A151+1</f>
        <v>45</v>
      </c>
      <c r="B153" s="185" t="s">
        <v>259</v>
      </c>
      <c r="C153" s="189" t="s">
        <v>258</v>
      </c>
      <c r="D153" s="186" t="s">
        <v>91</v>
      </c>
      <c r="E153" s="187">
        <v>27</v>
      </c>
      <c r="F153" s="188"/>
      <c r="G153" s="161">
        <f>ROUND(E153*F153,2)</f>
        <v>0</v>
      </c>
      <c r="H153" s="188">
        <v>339.99</v>
      </c>
      <c r="I153" s="161">
        <f>ROUND(E153*H153,2)</f>
        <v>9179.73</v>
      </c>
      <c r="J153" s="188">
        <v>352.01</v>
      </c>
      <c r="K153" s="161">
        <f>ROUND(E153*J153,2)</f>
        <v>9504.27</v>
      </c>
      <c r="L153" s="161">
        <v>21</v>
      </c>
      <c r="M153" s="161">
        <f>G153*(1+L153/100)</f>
        <v>0</v>
      </c>
      <c r="N153" s="161">
        <v>0.25080000000000002</v>
      </c>
      <c r="O153" s="161">
        <f>ROUND(E153*N153,2)</f>
        <v>6.77</v>
      </c>
      <c r="P153" s="161">
        <v>0</v>
      </c>
      <c r="Q153" s="161">
        <f>ROUND(E153*P153,2)</f>
        <v>0</v>
      </c>
      <c r="R153" s="161" t="s">
        <v>98</v>
      </c>
      <c r="S153" s="161" t="s">
        <v>161</v>
      </c>
      <c r="T153" s="161" t="s">
        <v>161</v>
      </c>
      <c r="U153" s="138"/>
      <c r="V153" s="138"/>
      <c r="W153" s="138"/>
      <c r="X153" s="138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</row>
    <row r="154" spans="1:60" outlineLevel="1" x14ac:dyDescent="0.2">
      <c r="A154" s="183"/>
      <c r="B154" s="165"/>
      <c r="C154" s="195"/>
      <c r="D154" s="196"/>
      <c r="E154" s="196"/>
      <c r="F154" s="196"/>
      <c r="G154" s="196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</row>
    <row r="155" spans="1:60" outlineLevel="1" x14ac:dyDescent="0.2">
      <c r="A155" s="184">
        <f>A153+1</f>
        <v>46</v>
      </c>
      <c r="B155" s="214" t="s">
        <v>248</v>
      </c>
      <c r="C155" s="215" t="s">
        <v>257</v>
      </c>
      <c r="D155" s="186" t="s">
        <v>91</v>
      </c>
      <c r="E155" s="187">
        <f>E153</f>
        <v>27</v>
      </c>
      <c r="F155" s="188"/>
      <c r="G155" s="161">
        <f>ROUND(E155*F155,2)</f>
        <v>0</v>
      </c>
      <c r="H155" s="188">
        <v>339.99</v>
      </c>
      <c r="I155" s="161">
        <f>ROUND(E155*H155,2)</f>
        <v>9179.73</v>
      </c>
      <c r="J155" s="188">
        <v>352.01</v>
      </c>
      <c r="K155" s="161">
        <f>ROUND(E155*J155,2)</f>
        <v>9504.27</v>
      </c>
      <c r="L155" s="161">
        <v>21</v>
      </c>
      <c r="M155" s="161">
        <f>G155*(1+L155/100)</f>
        <v>0</v>
      </c>
      <c r="N155" s="161">
        <v>0.25080000000000002</v>
      </c>
      <c r="O155" s="161">
        <f>ROUND(E155*N155,2)</f>
        <v>6.77</v>
      </c>
      <c r="P155" s="161">
        <v>0</v>
      </c>
      <c r="Q155" s="161">
        <f>ROUND(E155*P155,2)</f>
        <v>0</v>
      </c>
      <c r="R155" s="161" t="s">
        <v>98</v>
      </c>
      <c r="S155" s="161" t="s">
        <v>161</v>
      </c>
      <c r="T155" s="161" t="s">
        <v>161</v>
      </c>
      <c r="U155" s="138"/>
      <c r="V155" s="138"/>
      <c r="W155" s="138"/>
      <c r="X155" s="138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</row>
    <row r="156" spans="1:60" outlineLevel="1" x14ac:dyDescent="0.2">
      <c r="A156" s="183"/>
      <c r="B156" s="165"/>
      <c r="C156" s="195"/>
      <c r="D156" s="196"/>
      <c r="E156" s="196"/>
      <c r="F156" s="196"/>
      <c r="G156" s="196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</row>
    <row r="157" spans="1:60" outlineLevel="1" x14ac:dyDescent="0.2">
      <c r="A157" s="184">
        <f>A155+1</f>
        <v>47</v>
      </c>
      <c r="B157" s="185" t="s">
        <v>249</v>
      </c>
      <c r="C157" s="189" t="s">
        <v>250</v>
      </c>
      <c r="D157" s="186" t="s">
        <v>91</v>
      </c>
      <c r="E157" s="187">
        <f>E153</f>
        <v>27</v>
      </c>
      <c r="F157" s="188"/>
      <c r="G157" s="161">
        <f>ROUND(E157*F157,2)</f>
        <v>0</v>
      </c>
      <c r="H157" s="188">
        <v>339.99</v>
      </c>
      <c r="I157" s="161">
        <f>ROUND(E157*H157,2)</f>
        <v>9179.73</v>
      </c>
      <c r="J157" s="188">
        <v>352.01</v>
      </c>
      <c r="K157" s="161">
        <f>ROUND(E157*J157,2)</f>
        <v>9504.27</v>
      </c>
      <c r="L157" s="161">
        <v>21</v>
      </c>
      <c r="M157" s="161">
        <f>G157*(1+L157/100)</f>
        <v>0</v>
      </c>
      <c r="N157" s="161">
        <v>0.25080000000000002</v>
      </c>
      <c r="O157" s="161">
        <f>ROUND(E157*N157,2)</f>
        <v>6.77</v>
      </c>
      <c r="P157" s="161">
        <v>0</v>
      </c>
      <c r="Q157" s="161">
        <f>ROUND(E157*P157,2)</f>
        <v>0</v>
      </c>
      <c r="R157" s="161" t="s">
        <v>98</v>
      </c>
      <c r="S157" s="161" t="s">
        <v>161</v>
      </c>
      <c r="T157" s="161" t="s">
        <v>161</v>
      </c>
      <c r="U157" s="138"/>
      <c r="V157" s="138"/>
      <c r="W157" s="138"/>
      <c r="X157" s="138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</row>
    <row r="158" spans="1:60" outlineLevel="1" x14ac:dyDescent="0.2">
      <c r="A158" s="183"/>
      <c r="B158" s="165"/>
      <c r="C158" s="195"/>
      <c r="D158" s="196"/>
      <c r="E158" s="196"/>
      <c r="F158" s="196"/>
      <c r="G158" s="196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</row>
    <row r="159" spans="1:60" outlineLevel="1" x14ac:dyDescent="0.2">
      <c r="A159" s="184">
        <f>A157+1</f>
        <v>48</v>
      </c>
      <c r="B159" s="214" t="s">
        <v>251</v>
      </c>
      <c r="C159" s="215" t="s">
        <v>256</v>
      </c>
      <c r="D159" s="186" t="s">
        <v>91</v>
      </c>
      <c r="E159" s="187">
        <f>E157</f>
        <v>27</v>
      </c>
      <c r="F159" s="188"/>
      <c r="G159" s="161">
        <f>ROUND(E159*F159,2)</f>
        <v>0</v>
      </c>
      <c r="H159" s="188">
        <v>339.99</v>
      </c>
      <c r="I159" s="161">
        <f>ROUND(E159*H159,2)</f>
        <v>9179.73</v>
      </c>
      <c r="J159" s="188">
        <v>352.01</v>
      </c>
      <c r="K159" s="161">
        <f>ROUND(E159*J159,2)</f>
        <v>9504.27</v>
      </c>
      <c r="L159" s="161">
        <v>21</v>
      </c>
      <c r="M159" s="161">
        <f>G159*(1+L159/100)</f>
        <v>0</v>
      </c>
      <c r="N159" s="161">
        <v>0.25080000000000002</v>
      </c>
      <c r="O159" s="161">
        <f>ROUND(E159*N159,2)</f>
        <v>6.77</v>
      </c>
      <c r="P159" s="161">
        <v>0</v>
      </c>
      <c r="Q159" s="161">
        <f>ROUND(E159*P159,2)</f>
        <v>0</v>
      </c>
      <c r="R159" s="161" t="s">
        <v>98</v>
      </c>
      <c r="S159" s="161" t="s">
        <v>161</v>
      </c>
      <c r="T159" s="161" t="s">
        <v>161</v>
      </c>
      <c r="U159" s="138"/>
      <c r="V159" s="138"/>
      <c r="W159" s="138"/>
      <c r="X159" s="138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</row>
    <row r="160" spans="1:60" outlineLevel="1" x14ac:dyDescent="0.2">
      <c r="A160" s="183"/>
      <c r="B160" s="165"/>
      <c r="C160" s="195"/>
      <c r="D160" s="196"/>
      <c r="E160" s="196"/>
      <c r="F160" s="196"/>
      <c r="G160" s="196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</row>
    <row r="161" spans="1:60" outlineLevel="1" x14ac:dyDescent="0.2">
      <c r="A161" s="184">
        <f>A159+1</f>
        <v>49</v>
      </c>
      <c r="B161" s="185" t="s">
        <v>252</v>
      </c>
      <c r="C161" s="189" t="s">
        <v>254</v>
      </c>
      <c r="D161" s="186" t="s">
        <v>91</v>
      </c>
      <c r="E161" s="187">
        <f>E153</f>
        <v>27</v>
      </c>
      <c r="F161" s="188"/>
      <c r="G161" s="161">
        <f>ROUND(E161*F161,2)</f>
        <v>0</v>
      </c>
      <c r="H161" s="188">
        <v>339.99</v>
      </c>
      <c r="I161" s="161">
        <f>ROUND(E161*H161,2)</f>
        <v>9179.73</v>
      </c>
      <c r="J161" s="188">
        <v>352.01</v>
      </c>
      <c r="K161" s="161">
        <f>ROUND(E161*J161,2)</f>
        <v>9504.27</v>
      </c>
      <c r="L161" s="161">
        <v>21</v>
      </c>
      <c r="M161" s="161">
        <f>G161*(1+L161/100)</f>
        <v>0</v>
      </c>
      <c r="N161" s="161">
        <v>0.25080000000000002</v>
      </c>
      <c r="O161" s="161">
        <f>ROUND(E161*N161,2)</f>
        <v>6.77</v>
      </c>
      <c r="P161" s="161">
        <v>0</v>
      </c>
      <c r="Q161" s="161">
        <f>ROUND(E161*P161,2)</f>
        <v>0</v>
      </c>
      <c r="R161" s="161" t="s">
        <v>98</v>
      </c>
      <c r="S161" s="161" t="s">
        <v>161</v>
      </c>
      <c r="T161" s="161" t="s">
        <v>161</v>
      </c>
      <c r="U161" s="138"/>
      <c r="V161" s="138"/>
      <c r="W161" s="138"/>
      <c r="X161" s="138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</row>
    <row r="162" spans="1:60" outlineLevel="1" x14ac:dyDescent="0.2">
      <c r="A162" s="183"/>
      <c r="B162" s="165"/>
      <c r="C162" s="195"/>
      <c r="D162" s="196"/>
      <c r="E162" s="196"/>
      <c r="F162" s="196"/>
      <c r="G162" s="196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</row>
    <row r="163" spans="1:60" outlineLevel="1" x14ac:dyDescent="0.2">
      <c r="A163" s="184">
        <f>A161+1</f>
        <v>50</v>
      </c>
      <c r="B163" s="214" t="s">
        <v>253</v>
      </c>
      <c r="C163" s="215" t="s">
        <v>255</v>
      </c>
      <c r="D163" s="186" t="s">
        <v>91</v>
      </c>
      <c r="E163" s="187">
        <f>E161</f>
        <v>27</v>
      </c>
      <c r="F163" s="188"/>
      <c r="G163" s="161">
        <f>ROUND(E163*F163,2)</f>
        <v>0</v>
      </c>
      <c r="H163" s="188">
        <v>339.99</v>
      </c>
      <c r="I163" s="161">
        <f>ROUND(E163*H163,2)</f>
        <v>9179.73</v>
      </c>
      <c r="J163" s="188">
        <v>352.01</v>
      </c>
      <c r="K163" s="161">
        <f>ROUND(E163*J163,2)</f>
        <v>9504.27</v>
      </c>
      <c r="L163" s="161">
        <v>21</v>
      </c>
      <c r="M163" s="161">
        <f>G163*(1+L163/100)</f>
        <v>0</v>
      </c>
      <c r="N163" s="161">
        <v>0.25080000000000002</v>
      </c>
      <c r="O163" s="161">
        <f>ROUND(E163*N163,2)</f>
        <v>6.77</v>
      </c>
      <c r="P163" s="161">
        <v>0</v>
      </c>
      <c r="Q163" s="161">
        <f>ROUND(E163*P163,2)</f>
        <v>0</v>
      </c>
      <c r="R163" s="161" t="s">
        <v>98</v>
      </c>
      <c r="S163" s="161" t="s">
        <v>161</v>
      </c>
      <c r="T163" s="161" t="s">
        <v>161</v>
      </c>
      <c r="U163" s="138"/>
      <c r="V163" s="138"/>
      <c r="W163" s="138"/>
      <c r="X163" s="138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</row>
    <row r="164" spans="1:60" outlineLevel="1" x14ac:dyDescent="0.2">
      <c r="A164" s="183"/>
      <c r="B164" s="165"/>
      <c r="C164" s="195"/>
      <c r="D164" s="196"/>
      <c r="E164" s="196"/>
      <c r="F164" s="196"/>
      <c r="G164" s="196"/>
      <c r="H164" s="138"/>
      <c r="I164" s="138"/>
      <c r="J164" s="138"/>
      <c r="K164" s="138"/>
      <c r="L164" s="138"/>
      <c r="M164" s="138"/>
      <c r="N164" s="138"/>
      <c r="O164" s="138"/>
      <c r="P164" s="138"/>
      <c r="Q164" s="138"/>
      <c r="R164" s="138"/>
      <c r="S164" s="138"/>
      <c r="T164" s="138"/>
      <c r="U164" s="138"/>
      <c r="V164" s="138"/>
      <c r="W164" s="138"/>
      <c r="X164" s="138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</row>
    <row r="165" spans="1:60" outlineLevel="1" x14ac:dyDescent="0.2">
      <c r="A165" s="184">
        <f>A163+1</f>
        <v>51</v>
      </c>
      <c r="B165" s="185" t="s">
        <v>262</v>
      </c>
      <c r="C165" s="189" t="s">
        <v>260</v>
      </c>
      <c r="D165" s="186" t="s">
        <v>91</v>
      </c>
      <c r="E165" s="187">
        <f>E153</f>
        <v>27</v>
      </c>
      <c r="F165" s="188"/>
      <c r="G165" s="161">
        <f>ROUND(E165*F165,2)</f>
        <v>0</v>
      </c>
      <c r="H165" s="188">
        <v>339.99</v>
      </c>
      <c r="I165" s="161">
        <f>ROUND(E165*H165,2)</f>
        <v>9179.73</v>
      </c>
      <c r="J165" s="188">
        <v>352.01</v>
      </c>
      <c r="K165" s="161">
        <f>ROUND(E165*J165,2)</f>
        <v>9504.27</v>
      </c>
      <c r="L165" s="161">
        <v>21</v>
      </c>
      <c r="M165" s="161">
        <f>G165*(1+L165/100)</f>
        <v>0</v>
      </c>
      <c r="N165" s="161">
        <v>0.25080000000000002</v>
      </c>
      <c r="O165" s="161">
        <f>ROUND(E165*N165,2)</f>
        <v>6.77</v>
      </c>
      <c r="P165" s="161">
        <v>0</v>
      </c>
      <c r="Q165" s="161">
        <f>ROUND(E165*P165,2)</f>
        <v>0</v>
      </c>
      <c r="R165" s="161" t="s">
        <v>98</v>
      </c>
      <c r="S165" s="161" t="s">
        <v>161</v>
      </c>
      <c r="T165" s="161" t="s">
        <v>161</v>
      </c>
      <c r="U165" s="138"/>
      <c r="V165" s="138"/>
      <c r="W165" s="138"/>
      <c r="X165" s="138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</row>
    <row r="166" spans="1:60" outlineLevel="1" x14ac:dyDescent="0.2">
      <c r="A166" s="183"/>
      <c r="B166" s="165"/>
      <c r="C166" s="195"/>
      <c r="D166" s="196"/>
      <c r="E166" s="196"/>
      <c r="F166" s="196"/>
      <c r="G166" s="196"/>
      <c r="H166" s="138"/>
      <c r="I166" s="138"/>
      <c r="J166" s="138"/>
      <c r="K166" s="138"/>
      <c r="L166" s="138"/>
      <c r="M166" s="138"/>
      <c r="N166" s="138"/>
      <c r="O166" s="138"/>
      <c r="P166" s="138"/>
      <c r="Q166" s="138"/>
      <c r="R166" s="138"/>
      <c r="S166" s="138"/>
      <c r="T166" s="138"/>
      <c r="U166" s="138"/>
      <c r="V166" s="138"/>
      <c r="W166" s="138"/>
      <c r="X166" s="138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</row>
    <row r="167" spans="1:60" outlineLevel="1" x14ac:dyDescent="0.2">
      <c r="A167" s="184">
        <f>A165+1</f>
        <v>52</v>
      </c>
      <c r="B167" s="214" t="s">
        <v>343</v>
      </c>
      <c r="C167" s="215" t="s">
        <v>261</v>
      </c>
      <c r="D167" s="186" t="s">
        <v>91</v>
      </c>
      <c r="E167" s="187">
        <f>E153</f>
        <v>27</v>
      </c>
      <c r="F167" s="188"/>
      <c r="G167" s="161">
        <f>ROUND(E167*F167,2)</f>
        <v>0</v>
      </c>
      <c r="H167" s="188">
        <v>339.99</v>
      </c>
      <c r="I167" s="161">
        <f>ROUND(E167*H167,2)</f>
        <v>9179.73</v>
      </c>
      <c r="J167" s="188">
        <v>352.01</v>
      </c>
      <c r="K167" s="161">
        <f>ROUND(E167*J167,2)</f>
        <v>9504.27</v>
      </c>
      <c r="L167" s="161">
        <v>21</v>
      </c>
      <c r="M167" s="161">
        <f>G167*(1+L167/100)</f>
        <v>0</v>
      </c>
      <c r="N167" s="161">
        <v>0.25080000000000002</v>
      </c>
      <c r="O167" s="161">
        <f>ROUND(E167*N167,2)</f>
        <v>6.77</v>
      </c>
      <c r="P167" s="161">
        <v>0</v>
      </c>
      <c r="Q167" s="161">
        <f>ROUND(E167*P167,2)</f>
        <v>0</v>
      </c>
      <c r="R167" s="161" t="s">
        <v>98</v>
      </c>
      <c r="S167" s="161" t="s">
        <v>161</v>
      </c>
      <c r="T167" s="161" t="s">
        <v>161</v>
      </c>
      <c r="U167" s="138"/>
      <c r="V167" s="138"/>
      <c r="W167" s="138"/>
      <c r="X167" s="138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</row>
    <row r="168" spans="1:60" outlineLevel="1" x14ac:dyDescent="0.2">
      <c r="A168" s="183"/>
      <c r="B168" s="165"/>
      <c r="C168" s="198" t="s">
        <v>162</v>
      </c>
      <c r="D168" s="192"/>
      <c r="E168" s="193"/>
      <c r="F168" s="191"/>
      <c r="G168" s="138"/>
      <c r="H168" s="190"/>
      <c r="I168" s="138"/>
      <c r="J168" s="190"/>
      <c r="K168" s="138"/>
      <c r="L168" s="138"/>
      <c r="M168" s="138"/>
      <c r="N168" s="138"/>
      <c r="O168" s="138"/>
      <c r="P168" s="138"/>
      <c r="Q168" s="138"/>
      <c r="R168" s="138"/>
      <c r="S168" s="138"/>
      <c r="T168" s="138"/>
      <c r="U168" s="138"/>
      <c r="V168" s="138"/>
      <c r="W168" s="138"/>
      <c r="X168" s="138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</row>
    <row r="169" spans="1:60" outlineLevel="1" x14ac:dyDescent="0.2">
      <c r="A169" s="183"/>
      <c r="B169" s="165"/>
      <c r="C169" s="195"/>
      <c r="D169" s="196"/>
      <c r="E169" s="196"/>
      <c r="F169" s="196"/>
      <c r="G169" s="196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</row>
    <row r="170" spans="1:60" outlineLevel="1" x14ac:dyDescent="0.2">
      <c r="A170" s="184">
        <f>A167+1</f>
        <v>53</v>
      </c>
      <c r="B170" s="185" t="s">
        <v>263</v>
      </c>
      <c r="C170" s="189" t="s">
        <v>264</v>
      </c>
      <c r="D170" s="186" t="s">
        <v>91</v>
      </c>
      <c r="E170" s="187">
        <v>27</v>
      </c>
      <c r="F170" s="188"/>
      <c r="G170" s="161">
        <f>ROUND(E170*F170,2)</f>
        <v>0</v>
      </c>
      <c r="H170" s="188">
        <v>339.99</v>
      </c>
      <c r="I170" s="161">
        <f>ROUND(E170*H170,2)</f>
        <v>9179.73</v>
      </c>
      <c r="J170" s="188">
        <v>352.01</v>
      </c>
      <c r="K170" s="161">
        <f>ROUND(E170*J170,2)</f>
        <v>9504.27</v>
      </c>
      <c r="L170" s="161">
        <v>21</v>
      </c>
      <c r="M170" s="161">
        <f>G170*(1+L170/100)</f>
        <v>0</v>
      </c>
      <c r="N170" s="161">
        <v>0.25080000000000002</v>
      </c>
      <c r="O170" s="161">
        <f>ROUND(E170*N170,2)</f>
        <v>6.77</v>
      </c>
      <c r="P170" s="161">
        <v>0</v>
      </c>
      <c r="Q170" s="161">
        <f>ROUND(E170*P170,2)</f>
        <v>0</v>
      </c>
      <c r="R170" s="161" t="s">
        <v>98</v>
      </c>
      <c r="S170" s="161" t="s">
        <v>161</v>
      </c>
      <c r="T170" s="161" t="s">
        <v>161</v>
      </c>
      <c r="U170" s="138"/>
      <c r="V170" s="138"/>
      <c r="W170" s="138"/>
      <c r="X170" s="138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</row>
    <row r="171" spans="1:60" outlineLevel="1" x14ac:dyDescent="0.2">
      <c r="A171" s="183"/>
      <c r="B171" s="165"/>
      <c r="C171" s="195"/>
      <c r="D171" s="196"/>
      <c r="E171" s="196"/>
      <c r="F171" s="196"/>
      <c r="G171" s="196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</row>
    <row r="172" spans="1:60" ht="22.5" outlineLevel="1" x14ac:dyDescent="0.2">
      <c r="A172" s="184">
        <f>A170+1</f>
        <v>54</v>
      </c>
      <c r="B172" s="185" t="s">
        <v>266</v>
      </c>
      <c r="C172" s="189" t="s">
        <v>265</v>
      </c>
      <c r="D172" s="186" t="s">
        <v>104</v>
      </c>
      <c r="E172" s="187">
        <v>6</v>
      </c>
      <c r="F172" s="188"/>
      <c r="G172" s="161">
        <f>ROUND(E172*F172,2)</f>
        <v>0</v>
      </c>
      <c r="H172" s="188">
        <v>339.99</v>
      </c>
      <c r="I172" s="161">
        <f>ROUND(E172*H172,2)</f>
        <v>2039.94</v>
      </c>
      <c r="J172" s="188">
        <v>352.01</v>
      </c>
      <c r="K172" s="161">
        <f>ROUND(E172*J172,2)</f>
        <v>2112.06</v>
      </c>
      <c r="L172" s="161">
        <v>21</v>
      </c>
      <c r="M172" s="161">
        <f>G172*(1+L172/100)</f>
        <v>0</v>
      </c>
      <c r="N172" s="161">
        <v>0.25080000000000002</v>
      </c>
      <c r="O172" s="161">
        <f>ROUND(E172*N172,2)</f>
        <v>1.5</v>
      </c>
      <c r="P172" s="161">
        <v>0</v>
      </c>
      <c r="Q172" s="161">
        <f>ROUND(E172*P172,2)</f>
        <v>0</v>
      </c>
      <c r="R172" s="161" t="s">
        <v>98</v>
      </c>
      <c r="S172" s="161" t="s">
        <v>161</v>
      </c>
      <c r="T172" s="161" t="s">
        <v>161</v>
      </c>
      <c r="U172" s="138"/>
      <c r="V172" s="138"/>
      <c r="W172" s="138"/>
      <c r="X172" s="138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</row>
    <row r="173" spans="1:60" outlineLevel="1" x14ac:dyDescent="0.2">
      <c r="A173" s="183"/>
      <c r="B173" s="165"/>
      <c r="C173" s="195"/>
      <c r="D173" s="196"/>
      <c r="E173" s="196"/>
      <c r="F173" s="196"/>
      <c r="G173" s="196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</row>
    <row r="174" spans="1:60" ht="22.5" outlineLevel="1" x14ac:dyDescent="0.2">
      <c r="A174" s="184">
        <f>A172+1</f>
        <v>55</v>
      </c>
      <c r="B174" s="185" t="s">
        <v>268</v>
      </c>
      <c r="C174" s="189" t="s">
        <v>267</v>
      </c>
      <c r="D174" s="186" t="s">
        <v>102</v>
      </c>
      <c r="E174" s="187">
        <v>40</v>
      </c>
      <c r="F174" s="188"/>
      <c r="G174" s="161">
        <f>ROUND(E174*F174,2)</f>
        <v>0</v>
      </c>
      <c r="H174" s="188">
        <v>339.99</v>
      </c>
      <c r="I174" s="161">
        <f>ROUND(E174*H174,2)</f>
        <v>13599.6</v>
      </c>
      <c r="J174" s="188">
        <v>352.01</v>
      </c>
      <c r="K174" s="161">
        <f>ROUND(E174*J174,2)</f>
        <v>14080.4</v>
      </c>
      <c r="L174" s="161">
        <v>21</v>
      </c>
      <c r="M174" s="161">
        <f>G174*(1+L174/100)</f>
        <v>0</v>
      </c>
      <c r="N174" s="161">
        <v>0.25080000000000002</v>
      </c>
      <c r="O174" s="161">
        <f>ROUND(E174*N174,2)</f>
        <v>10.029999999999999</v>
      </c>
      <c r="P174" s="161">
        <v>0</v>
      </c>
      <c r="Q174" s="161">
        <f>ROUND(E174*P174,2)</f>
        <v>0</v>
      </c>
      <c r="R174" s="161" t="s">
        <v>98</v>
      </c>
      <c r="S174" s="161" t="s">
        <v>161</v>
      </c>
      <c r="T174" s="161" t="s">
        <v>161</v>
      </c>
      <c r="U174" s="138"/>
      <c r="V174" s="138"/>
      <c r="W174" s="138"/>
      <c r="X174" s="138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</row>
    <row r="175" spans="1:60" outlineLevel="1" x14ac:dyDescent="0.2">
      <c r="A175" s="183"/>
      <c r="B175" s="165"/>
      <c r="C175" s="195"/>
      <c r="D175" s="196"/>
      <c r="E175" s="196"/>
      <c r="F175" s="196"/>
      <c r="G175" s="196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</row>
    <row r="176" spans="1:60" outlineLevel="1" x14ac:dyDescent="0.2">
      <c r="A176" s="184">
        <f>A174+1</f>
        <v>56</v>
      </c>
      <c r="B176" s="185" t="s">
        <v>283</v>
      </c>
      <c r="C176" s="189" t="s">
        <v>281</v>
      </c>
      <c r="D176" s="186" t="s">
        <v>102</v>
      </c>
      <c r="E176" s="187">
        <f>E178</f>
        <v>2135</v>
      </c>
      <c r="F176" s="188"/>
      <c r="G176" s="161">
        <f>ROUND(E176*F176,2)</f>
        <v>0</v>
      </c>
      <c r="H176" s="188">
        <v>320.33</v>
      </c>
      <c r="I176" s="161">
        <f>ROUND(E176*H176,2)</f>
        <v>683904.55</v>
      </c>
      <c r="J176" s="188">
        <v>128.16999999999999</v>
      </c>
      <c r="K176" s="161">
        <f>ROUND(E176*J176,2)</f>
        <v>273642.95</v>
      </c>
      <c r="L176" s="161">
        <v>21</v>
      </c>
      <c r="M176" s="161">
        <f>G176*(1+L176/100)</f>
        <v>0</v>
      </c>
      <c r="N176" s="161">
        <v>0.26980999999999999</v>
      </c>
      <c r="O176" s="161">
        <f>ROUND(E176*N176,2)</f>
        <v>576.04</v>
      </c>
      <c r="P176" s="161">
        <v>0</v>
      </c>
      <c r="Q176" s="161">
        <f>ROUND(E176*P176,2)</f>
        <v>0</v>
      </c>
      <c r="R176" s="161" t="s">
        <v>98</v>
      </c>
      <c r="S176" s="161" t="s">
        <v>161</v>
      </c>
      <c r="T176" s="161" t="s">
        <v>161</v>
      </c>
      <c r="U176" s="138"/>
      <c r="V176" s="138"/>
      <c r="W176" s="138"/>
      <c r="X176" s="138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</row>
    <row r="177" spans="1:60" outlineLevel="1" x14ac:dyDescent="0.2">
      <c r="A177" s="183"/>
      <c r="B177" s="165"/>
      <c r="C177" s="309" t="s">
        <v>135</v>
      </c>
      <c r="D177" s="310"/>
      <c r="E177" s="310"/>
      <c r="F177" s="310"/>
      <c r="G177" s="310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</row>
    <row r="178" spans="1:60" outlineLevel="1" x14ac:dyDescent="0.2">
      <c r="A178" s="183"/>
      <c r="B178" s="165"/>
      <c r="C178" s="211" t="s">
        <v>448</v>
      </c>
      <c r="D178" s="212"/>
      <c r="E178" s="213">
        <f>1420+715</f>
        <v>2135</v>
      </c>
      <c r="F178" s="210"/>
      <c r="G178" s="210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</row>
    <row r="179" spans="1:60" outlineLevel="1" x14ac:dyDescent="0.2">
      <c r="A179" s="183"/>
      <c r="B179" s="165"/>
      <c r="C179" s="322"/>
      <c r="D179" s="323"/>
      <c r="E179" s="323"/>
      <c r="F179" s="323"/>
      <c r="G179" s="323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</row>
    <row r="180" spans="1:60" outlineLevel="1" x14ac:dyDescent="0.2">
      <c r="A180" s="184">
        <f>A176+1</f>
        <v>57</v>
      </c>
      <c r="B180" s="214" t="s">
        <v>282</v>
      </c>
      <c r="C180" s="215" t="s">
        <v>284</v>
      </c>
      <c r="D180" s="186" t="s">
        <v>91</v>
      </c>
      <c r="E180" s="187">
        <v>1357</v>
      </c>
      <c r="F180" s="188"/>
      <c r="G180" s="161">
        <f>ROUND(E180*F180,2)</f>
        <v>0</v>
      </c>
      <c r="H180" s="188">
        <v>143</v>
      </c>
      <c r="I180" s="161">
        <f>ROUND(E180*H180,2)</f>
        <v>194051</v>
      </c>
      <c r="J180" s="188">
        <v>0</v>
      </c>
      <c r="K180" s="161">
        <f>ROUND(E180*J180,2)</f>
        <v>0</v>
      </c>
      <c r="L180" s="161">
        <v>21</v>
      </c>
      <c r="M180" s="161">
        <f>G180*(1+L180/100)</f>
        <v>0</v>
      </c>
      <c r="N180" s="161">
        <v>5.4170000000000003E-2</v>
      </c>
      <c r="O180" s="161">
        <f>ROUND(E180*N180,2)</f>
        <v>73.510000000000005</v>
      </c>
      <c r="P180" s="161">
        <v>0</v>
      </c>
      <c r="Q180" s="161">
        <f>ROUND(E180*P180,2)</f>
        <v>0</v>
      </c>
      <c r="R180" s="161" t="s">
        <v>134</v>
      </c>
      <c r="S180" s="161" t="s">
        <v>161</v>
      </c>
      <c r="T180" s="161" t="s">
        <v>95</v>
      </c>
      <c r="U180" s="138"/>
      <c r="V180" s="138"/>
      <c r="W180" s="138"/>
      <c r="X180" s="138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</row>
    <row r="181" spans="1:60" outlineLevel="1" x14ac:dyDescent="0.2">
      <c r="A181" s="183"/>
      <c r="B181" s="165"/>
      <c r="C181" s="195"/>
      <c r="D181" s="196"/>
      <c r="E181" s="196"/>
      <c r="F181" s="196"/>
      <c r="G181" s="196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</row>
    <row r="182" spans="1:60" outlineLevel="1" x14ac:dyDescent="0.2">
      <c r="A182" s="184">
        <f>A180+1</f>
        <v>58</v>
      </c>
      <c r="B182" s="214" t="s">
        <v>291</v>
      </c>
      <c r="C182" s="215" t="s">
        <v>289</v>
      </c>
      <c r="D182" s="186" t="s">
        <v>91</v>
      </c>
      <c r="E182" s="187">
        <v>729</v>
      </c>
      <c r="F182" s="188"/>
      <c r="G182" s="161">
        <f>ROUND(E182*F182,2)</f>
        <v>0</v>
      </c>
      <c r="H182" s="188">
        <v>143</v>
      </c>
      <c r="I182" s="161">
        <f>ROUND(E182*H182,2)</f>
        <v>104247</v>
      </c>
      <c r="J182" s="188">
        <v>0</v>
      </c>
      <c r="K182" s="161">
        <f>ROUND(E182*J182,2)</f>
        <v>0</v>
      </c>
      <c r="L182" s="161">
        <v>21</v>
      </c>
      <c r="M182" s="161">
        <f>G182*(1+L182/100)</f>
        <v>0</v>
      </c>
      <c r="N182" s="161">
        <v>5.4170000000000003E-2</v>
      </c>
      <c r="O182" s="161">
        <f>ROUND(E182*N182,2)</f>
        <v>39.49</v>
      </c>
      <c r="P182" s="161">
        <v>0</v>
      </c>
      <c r="Q182" s="161">
        <f>ROUND(E182*P182,2)</f>
        <v>0</v>
      </c>
      <c r="R182" s="161" t="s">
        <v>134</v>
      </c>
      <c r="S182" s="161" t="s">
        <v>161</v>
      </c>
      <c r="T182" s="161" t="s">
        <v>95</v>
      </c>
      <c r="U182" s="138"/>
      <c r="V182" s="138"/>
      <c r="W182" s="138"/>
      <c r="X182" s="138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</row>
    <row r="183" spans="1:60" outlineLevel="1" x14ac:dyDescent="0.2">
      <c r="A183" s="183"/>
      <c r="B183" s="165"/>
      <c r="C183" s="195"/>
      <c r="D183" s="196"/>
      <c r="E183" s="196"/>
      <c r="F183" s="196"/>
      <c r="G183" s="196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</row>
    <row r="184" spans="1:60" outlineLevel="1" x14ac:dyDescent="0.2">
      <c r="A184" s="184">
        <f>A182+1</f>
        <v>59</v>
      </c>
      <c r="B184" s="214" t="s">
        <v>292</v>
      </c>
      <c r="C184" s="215" t="s">
        <v>285</v>
      </c>
      <c r="D184" s="186" t="s">
        <v>91</v>
      </c>
      <c r="E184" s="187">
        <v>34</v>
      </c>
      <c r="F184" s="188"/>
      <c r="G184" s="161">
        <f>ROUND(E184*F184,2)</f>
        <v>0</v>
      </c>
      <c r="H184" s="188">
        <v>143</v>
      </c>
      <c r="I184" s="161">
        <f>ROUND(E184*H184,2)</f>
        <v>4862</v>
      </c>
      <c r="J184" s="188">
        <v>0</v>
      </c>
      <c r="K184" s="161">
        <f>ROUND(E184*J184,2)</f>
        <v>0</v>
      </c>
      <c r="L184" s="161">
        <v>21</v>
      </c>
      <c r="M184" s="161">
        <f>G184*(1+L184/100)</f>
        <v>0</v>
      </c>
      <c r="N184" s="161">
        <v>5.4170000000000003E-2</v>
      </c>
      <c r="O184" s="161">
        <f>ROUND(E184*N184,2)</f>
        <v>1.84</v>
      </c>
      <c r="P184" s="161">
        <v>0</v>
      </c>
      <c r="Q184" s="161">
        <f>ROUND(E184*P184,2)</f>
        <v>0</v>
      </c>
      <c r="R184" s="161" t="s">
        <v>134</v>
      </c>
      <c r="S184" s="161" t="s">
        <v>161</v>
      </c>
      <c r="T184" s="161" t="s">
        <v>95</v>
      </c>
      <c r="U184" s="138"/>
      <c r="V184" s="138"/>
      <c r="W184" s="138"/>
      <c r="X184" s="138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</row>
    <row r="185" spans="1:60" outlineLevel="1" x14ac:dyDescent="0.2">
      <c r="A185" s="183"/>
      <c r="B185" s="165"/>
      <c r="C185" s="195"/>
      <c r="D185" s="196"/>
      <c r="E185" s="196"/>
      <c r="F185" s="196"/>
      <c r="G185" s="196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</row>
    <row r="186" spans="1:60" outlineLevel="1" x14ac:dyDescent="0.2">
      <c r="A186" s="184">
        <f>A184+1</f>
        <v>60</v>
      </c>
      <c r="B186" s="214" t="s">
        <v>449</v>
      </c>
      <c r="C186" s="215" t="s">
        <v>453</v>
      </c>
      <c r="D186" s="186" t="s">
        <v>91</v>
      </c>
      <c r="E186" s="187">
        <v>72</v>
      </c>
      <c r="F186" s="188"/>
      <c r="G186" s="161">
        <f>ROUND(E186*F186,2)</f>
        <v>0</v>
      </c>
      <c r="H186" s="188">
        <v>143</v>
      </c>
      <c r="I186" s="161">
        <f>ROUND(E186*H186,2)</f>
        <v>10296</v>
      </c>
      <c r="J186" s="188">
        <v>0</v>
      </c>
      <c r="K186" s="161">
        <f>ROUND(E186*J186,2)</f>
        <v>0</v>
      </c>
      <c r="L186" s="161">
        <v>21</v>
      </c>
      <c r="M186" s="161">
        <f>G186*(1+L186/100)</f>
        <v>0</v>
      </c>
      <c r="N186" s="161">
        <v>5.4170000000000003E-2</v>
      </c>
      <c r="O186" s="161">
        <f>ROUND(E186*N186,2)</f>
        <v>3.9</v>
      </c>
      <c r="P186" s="161">
        <v>0</v>
      </c>
      <c r="Q186" s="161">
        <f>ROUND(E186*P186,2)</f>
        <v>0</v>
      </c>
      <c r="R186" s="161" t="s">
        <v>134</v>
      </c>
      <c r="S186" s="161" t="s">
        <v>161</v>
      </c>
      <c r="T186" s="161" t="s">
        <v>95</v>
      </c>
      <c r="U186" s="138"/>
      <c r="V186" s="138"/>
      <c r="W186" s="138"/>
      <c r="X186" s="138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</row>
    <row r="187" spans="1:60" outlineLevel="1" x14ac:dyDescent="0.2">
      <c r="A187" s="183"/>
      <c r="B187" s="165"/>
      <c r="C187" s="195"/>
      <c r="D187" s="196"/>
      <c r="E187" s="196"/>
      <c r="F187" s="196"/>
      <c r="G187" s="196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</row>
    <row r="188" spans="1:60" outlineLevel="1" x14ac:dyDescent="0.2">
      <c r="A188" s="184">
        <f>A186+1</f>
        <v>61</v>
      </c>
      <c r="B188" s="214" t="s">
        <v>450</v>
      </c>
      <c r="C188" s="215" t="s">
        <v>451</v>
      </c>
      <c r="D188" s="186" t="s">
        <v>91</v>
      </c>
      <c r="E188" s="187">
        <v>46</v>
      </c>
      <c r="F188" s="188"/>
      <c r="G188" s="161">
        <f>ROUND(E188*F188,2)</f>
        <v>0</v>
      </c>
      <c r="H188" s="188">
        <v>143</v>
      </c>
      <c r="I188" s="161">
        <f>ROUND(E188*H188,2)</f>
        <v>6578</v>
      </c>
      <c r="J188" s="188">
        <v>0</v>
      </c>
      <c r="K188" s="161">
        <f>ROUND(E188*J188,2)</f>
        <v>0</v>
      </c>
      <c r="L188" s="161">
        <v>21</v>
      </c>
      <c r="M188" s="161">
        <f>G188*(1+L188/100)</f>
        <v>0</v>
      </c>
      <c r="N188" s="161">
        <v>5.4170000000000003E-2</v>
      </c>
      <c r="O188" s="161">
        <f>ROUND(E188*N188,2)</f>
        <v>2.4900000000000002</v>
      </c>
      <c r="P188" s="161">
        <v>0</v>
      </c>
      <c r="Q188" s="161">
        <f>ROUND(E188*P188,2)</f>
        <v>0</v>
      </c>
      <c r="R188" s="161" t="s">
        <v>134</v>
      </c>
      <c r="S188" s="161" t="s">
        <v>161</v>
      </c>
      <c r="T188" s="161" t="s">
        <v>95</v>
      </c>
      <c r="U188" s="138"/>
      <c r="V188" s="138"/>
      <c r="W188" s="138"/>
      <c r="X188" s="138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</row>
    <row r="189" spans="1:60" outlineLevel="1" x14ac:dyDescent="0.2">
      <c r="A189" s="183"/>
      <c r="B189" s="165"/>
      <c r="C189" s="195"/>
      <c r="D189" s="196"/>
      <c r="E189" s="196"/>
      <c r="F189" s="196"/>
      <c r="G189" s="196"/>
      <c r="H189" s="138"/>
      <c r="I189" s="138"/>
      <c r="J189" s="138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</row>
    <row r="190" spans="1:60" ht="22.5" outlineLevel="1" x14ac:dyDescent="0.2">
      <c r="A190" s="184">
        <f>A188+1</f>
        <v>62</v>
      </c>
      <c r="B190" s="185" t="s">
        <v>286</v>
      </c>
      <c r="C190" s="189" t="s">
        <v>287</v>
      </c>
      <c r="D190" s="186" t="s">
        <v>102</v>
      </c>
      <c r="E190" s="187">
        <v>604</v>
      </c>
      <c r="F190" s="188"/>
      <c r="G190" s="161">
        <f>ROUND(E190*F190,2)</f>
        <v>0</v>
      </c>
      <c r="H190" s="188">
        <v>320.33</v>
      </c>
      <c r="I190" s="161">
        <f>ROUND(E190*H190,2)</f>
        <v>193479.32</v>
      </c>
      <c r="J190" s="188">
        <v>128.16999999999999</v>
      </c>
      <c r="K190" s="161">
        <f>ROUND(E190*J190,2)</f>
        <v>77414.679999999993</v>
      </c>
      <c r="L190" s="161">
        <v>21</v>
      </c>
      <c r="M190" s="161">
        <f>G190*(1+L190/100)</f>
        <v>0</v>
      </c>
      <c r="N190" s="161">
        <v>0.26980999999999999</v>
      </c>
      <c r="O190" s="161">
        <f>ROUND(E190*N190,2)</f>
        <v>162.97</v>
      </c>
      <c r="P190" s="161">
        <v>0</v>
      </c>
      <c r="Q190" s="161">
        <f>ROUND(E190*P190,2)</f>
        <v>0</v>
      </c>
      <c r="R190" s="161" t="s">
        <v>98</v>
      </c>
      <c r="S190" s="161" t="s">
        <v>161</v>
      </c>
      <c r="T190" s="161" t="s">
        <v>161</v>
      </c>
      <c r="U190" s="138"/>
      <c r="V190" s="138"/>
      <c r="W190" s="138"/>
      <c r="X190" s="138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</row>
    <row r="191" spans="1:60" outlineLevel="1" x14ac:dyDescent="0.2">
      <c r="A191" s="183"/>
      <c r="B191" s="165"/>
      <c r="C191" s="309" t="s">
        <v>135</v>
      </c>
      <c r="D191" s="310"/>
      <c r="E191" s="310"/>
      <c r="F191" s="310"/>
      <c r="G191" s="310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</row>
    <row r="192" spans="1:60" outlineLevel="1" x14ac:dyDescent="0.2">
      <c r="A192" s="183"/>
      <c r="B192" s="165"/>
      <c r="C192" s="322"/>
      <c r="D192" s="323"/>
      <c r="E192" s="323"/>
      <c r="F192" s="323"/>
      <c r="G192" s="323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</row>
    <row r="193" spans="1:60" outlineLevel="1" x14ac:dyDescent="0.2">
      <c r="A193" s="184">
        <f>A190+1</f>
        <v>63</v>
      </c>
      <c r="B193" s="214" t="s">
        <v>290</v>
      </c>
      <c r="C193" s="215" t="s">
        <v>288</v>
      </c>
      <c r="D193" s="186" t="s">
        <v>91</v>
      </c>
      <c r="E193" s="187">
        <v>618</v>
      </c>
      <c r="F193" s="188"/>
      <c r="G193" s="161">
        <f>ROUND(E193*F193,2)</f>
        <v>0</v>
      </c>
      <c r="H193" s="188">
        <v>143</v>
      </c>
      <c r="I193" s="161">
        <f>ROUND(E193*H193,2)</f>
        <v>88374</v>
      </c>
      <c r="J193" s="188">
        <v>0</v>
      </c>
      <c r="K193" s="161">
        <f>ROUND(E193*J193,2)</f>
        <v>0</v>
      </c>
      <c r="L193" s="161">
        <v>21</v>
      </c>
      <c r="M193" s="161">
        <f>G193*(1+L193/100)</f>
        <v>0</v>
      </c>
      <c r="N193" s="161">
        <v>5.4170000000000003E-2</v>
      </c>
      <c r="O193" s="161">
        <f>ROUND(E193*N193,2)</f>
        <v>33.479999999999997</v>
      </c>
      <c r="P193" s="161">
        <v>0</v>
      </c>
      <c r="Q193" s="161">
        <f>ROUND(E193*P193,2)</f>
        <v>0</v>
      </c>
      <c r="R193" s="161" t="s">
        <v>134</v>
      </c>
      <c r="S193" s="161" t="s">
        <v>161</v>
      </c>
      <c r="T193" s="161" t="s">
        <v>95</v>
      </c>
      <c r="U193" s="138"/>
      <c r="V193" s="138"/>
      <c r="W193" s="138"/>
      <c r="X193" s="138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</row>
    <row r="194" spans="1:60" outlineLevel="1" x14ac:dyDescent="0.2">
      <c r="A194" s="183"/>
      <c r="B194" s="165"/>
      <c r="C194" s="195"/>
      <c r="D194" s="196"/>
      <c r="E194" s="196"/>
      <c r="F194" s="196"/>
      <c r="G194" s="196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</row>
    <row r="195" spans="1:60" outlineLevel="1" x14ac:dyDescent="0.2">
      <c r="A195" s="184">
        <f>A193+1</f>
        <v>64</v>
      </c>
      <c r="B195" s="185" t="s">
        <v>301</v>
      </c>
      <c r="C195" s="189" t="s">
        <v>299</v>
      </c>
      <c r="D195" s="186" t="s">
        <v>92</v>
      </c>
      <c r="E195" s="187">
        <f>E196</f>
        <v>255</v>
      </c>
      <c r="F195" s="188"/>
      <c r="G195" s="161">
        <f>ROUND(E195*F195,2)</f>
        <v>0</v>
      </c>
      <c r="H195" s="188">
        <v>143</v>
      </c>
      <c r="I195" s="161">
        <f>ROUND(E195*H195,2)</f>
        <v>36465</v>
      </c>
      <c r="J195" s="188">
        <v>0</v>
      </c>
      <c r="K195" s="161">
        <f>ROUND(E195*J195,2)</f>
        <v>0</v>
      </c>
      <c r="L195" s="161">
        <v>21</v>
      </c>
      <c r="M195" s="161">
        <f>G195*(1+L195/100)</f>
        <v>0</v>
      </c>
      <c r="N195" s="161">
        <v>5.4170000000000003E-2</v>
      </c>
      <c r="O195" s="161">
        <f>ROUND(E195*N195,2)</f>
        <v>13.81</v>
      </c>
      <c r="P195" s="161">
        <v>0</v>
      </c>
      <c r="Q195" s="161">
        <f>ROUND(E195*P195,2)</f>
        <v>0</v>
      </c>
      <c r="R195" s="161" t="s">
        <v>134</v>
      </c>
      <c r="S195" s="161" t="s">
        <v>161</v>
      </c>
      <c r="T195" s="161" t="s">
        <v>95</v>
      </c>
      <c r="U195" s="138"/>
      <c r="V195" s="138"/>
      <c r="W195" s="138"/>
      <c r="X195" s="138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</row>
    <row r="196" spans="1:60" outlineLevel="1" x14ac:dyDescent="0.2">
      <c r="A196" s="183"/>
      <c r="B196" s="165"/>
      <c r="C196" s="211" t="s">
        <v>454</v>
      </c>
      <c r="D196" s="212"/>
      <c r="E196" s="213">
        <f>510*0.5</f>
        <v>255</v>
      </c>
      <c r="F196" s="210"/>
      <c r="G196" s="210"/>
      <c r="H196" s="190"/>
      <c r="I196" s="138"/>
      <c r="J196" s="190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</row>
    <row r="197" spans="1:60" outlineLevel="1" x14ac:dyDescent="0.2">
      <c r="A197" s="183"/>
      <c r="B197" s="165"/>
      <c r="C197" s="195"/>
      <c r="D197" s="196"/>
      <c r="E197" s="196"/>
      <c r="F197" s="196"/>
      <c r="G197" s="196"/>
      <c r="H197" s="138"/>
      <c r="I197" s="138"/>
      <c r="J197" s="138"/>
      <c r="K197" s="138"/>
      <c r="L197" s="138"/>
      <c r="M197" s="138"/>
      <c r="N197" s="138"/>
      <c r="O197" s="138"/>
      <c r="P197" s="138"/>
      <c r="Q197" s="138"/>
      <c r="R197" s="138"/>
      <c r="S197" s="138"/>
      <c r="T197" s="138"/>
      <c r="U197" s="138"/>
      <c r="V197" s="138"/>
      <c r="W197" s="138"/>
      <c r="X197" s="138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</row>
    <row r="198" spans="1:60" outlineLevel="1" x14ac:dyDescent="0.2">
      <c r="A198" s="184">
        <f>A195+1</f>
        <v>65</v>
      </c>
      <c r="B198" s="185" t="s">
        <v>295</v>
      </c>
      <c r="C198" s="189" t="s">
        <v>294</v>
      </c>
      <c r="D198" s="186" t="s">
        <v>102</v>
      </c>
      <c r="E198" s="187">
        <f>E199</f>
        <v>1659</v>
      </c>
      <c r="F198" s="188"/>
      <c r="G198" s="161">
        <f>ROUND(E198*F198,2)</f>
        <v>0</v>
      </c>
      <c r="H198" s="188">
        <v>46.75</v>
      </c>
      <c r="I198" s="161">
        <f>ROUND(E198*H198,2)</f>
        <v>77558.25</v>
      </c>
      <c r="J198" s="188">
        <v>31.45</v>
      </c>
      <c r="K198" s="161">
        <f>ROUND(E198*J198,2)</f>
        <v>52175.55</v>
      </c>
      <c r="L198" s="161">
        <v>21</v>
      </c>
      <c r="M198" s="161">
        <f>G198*(1+L198/100)</f>
        <v>0</v>
      </c>
      <c r="N198" s="161">
        <v>0</v>
      </c>
      <c r="O198" s="161">
        <f>ROUND(E198*N198,2)</f>
        <v>0</v>
      </c>
      <c r="P198" s="161">
        <v>0</v>
      </c>
      <c r="Q198" s="161">
        <f>ROUND(E198*P198,2)</f>
        <v>0</v>
      </c>
      <c r="R198" s="161" t="s">
        <v>98</v>
      </c>
      <c r="S198" s="161" t="s">
        <v>161</v>
      </c>
      <c r="T198" s="161" t="s">
        <v>161</v>
      </c>
      <c r="U198" s="138"/>
      <c r="V198" s="138"/>
      <c r="W198" s="138"/>
      <c r="X198" s="138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</row>
    <row r="199" spans="1:60" outlineLevel="1" x14ac:dyDescent="0.2">
      <c r="A199" s="183"/>
      <c r="B199" s="165"/>
      <c r="C199" s="211" t="s">
        <v>456</v>
      </c>
      <c r="D199" s="212"/>
      <c r="E199" s="213">
        <f>19+10+6+8+8+18+10+59*2+495*2+136*2+100*2</f>
        <v>1659</v>
      </c>
      <c r="F199" s="210"/>
      <c r="G199" s="210"/>
      <c r="H199" s="190"/>
      <c r="I199" s="138"/>
      <c r="J199" s="190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</row>
    <row r="200" spans="1:60" outlineLevel="1" x14ac:dyDescent="0.2">
      <c r="A200" s="183"/>
      <c r="B200" s="165"/>
      <c r="C200" s="195"/>
      <c r="D200" s="196"/>
      <c r="E200" s="196"/>
      <c r="F200" s="196"/>
      <c r="G200" s="196"/>
      <c r="H200" s="138"/>
      <c r="I200" s="138"/>
      <c r="J200" s="138"/>
      <c r="K200" s="138"/>
      <c r="L200" s="138"/>
      <c r="M200" s="138"/>
      <c r="N200" s="138"/>
      <c r="O200" s="138"/>
      <c r="P200" s="138"/>
      <c r="Q200" s="138"/>
      <c r="R200" s="138"/>
      <c r="S200" s="138"/>
      <c r="T200" s="138"/>
      <c r="U200" s="138"/>
      <c r="V200" s="138"/>
      <c r="W200" s="138"/>
      <c r="X200" s="138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</row>
    <row r="201" spans="1:60" outlineLevel="1" x14ac:dyDescent="0.2">
      <c r="A201" s="184">
        <f>A198+1</f>
        <v>66</v>
      </c>
      <c r="B201" s="185" t="s">
        <v>296</v>
      </c>
      <c r="C201" s="189" t="s">
        <v>297</v>
      </c>
      <c r="D201" s="186" t="s">
        <v>102</v>
      </c>
      <c r="E201" s="187">
        <f>E198</f>
        <v>1659</v>
      </c>
      <c r="F201" s="188"/>
      <c r="G201" s="161">
        <f>ROUND(E201*F201,2)</f>
        <v>0</v>
      </c>
      <c r="H201" s="188">
        <v>46.75</v>
      </c>
      <c r="I201" s="161">
        <f>ROUND(E201*H201,2)</f>
        <v>77558.25</v>
      </c>
      <c r="J201" s="188">
        <v>31.45</v>
      </c>
      <c r="K201" s="161">
        <f>ROUND(E201*J201,2)</f>
        <v>52175.55</v>
      </c>
      <c r="L201" s="161">
        <v>21</v>
      </c>
      <c r="M201" s="161">
        <f>G201*(1+L201/100)</f>
        <v>0</v>
      </c>
      <c r="N201" s="161">
        <v>0</v>
      </c>
      <c r="O201" s="161">
        <f>ROUND(E201*N201,2)</f>
        <v>0</v>
      </c>
      <c r="P201" s="161">
        <v>0</v>
      </c>
      <c r="Q201" s="161">
        <f>ROUND(E201*P201,2)</f>
        <v>0</v>
      </c>
      <c r="R201" s="161" t="s">
        <v>98</v>
      </c>
      <c r="S201" s="161" t="s">
        <v>161</v>
      </c>
      <c r="T201" s="161" t="s">
        <v>161</v>
      </c>
      <c r="U201" s="138"/>
      <c r="V201" s="138"/>
      <c r="W201" s="138"/>
      <c r="X201" s="138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</row>
    <row r="202" spans="1:60" outlineLevel="1" x14ac:dyDescent="0.2">
      <c r="A202" s="183"/>
      <c r="B202" s="165"/>
      <c r="C202" s="195"/>
      <c r="D202" s="196"/>
      <c r="E202" s="196"/>
      <c r="F202" s="196"/>
      <c r="G202" s="196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</row>
    <row r="203" spans="1:60" outlineLevel="1" x14ac:dyDescent="0.2">
      <c r="A203" s="184">
        <f>A201+1</f>
        <v>67</v>
      </c>
      <c r="B203" s="185" t="s">
        <v>136</v>
      </c>
      <c r="C203" s="189" t="s">
        <v>137</v>
      </c>
      <c r="D203" s="186" t="s">
        <v>102</v>
      </c>
      <c r="E203" s="187">
        <f>E205</f>
        <v>79</v>
      </c>
      <c r="F203" s="188"/>
      <c r="G203" s="161">
        <f>ROUND(E203*F203,2)</f>
        <v>0</v>
      </c>
      <c r="H203" s="188">
        <v>46.75</v>
      </c>
      <c r="I203" s="161">
        <f>ROUND(E203*H203,2)</f>
        <v>3693.25</v>
      </c>
      <c r="J203" s="188">
        <v>31.45</v>
      </c>
      <c r="K203" s="161">
        <f>ROUND(E203*J203,2)</f>
        <v>2484.5500000000002</v>
      </c>
      <c r="L203" s="161">
        <v>21</v>
      </c>
      <c r="M203" s="161">
        <f>G203*(1+L203/100)</f>
        <v>0</v>
      </c>
      <c r="N203" s="161">
        <v>0</v>
      </c>
      <c r="O203" s="161">
        <f>ROUND(E203*N203,2)</f>
        <v>0</v>
      </c>
      <c r="P203" s="161">
        <v>0</v>
      </c>
      <c r="Q203" s="161">
        <f>ROUND(E203*P203,2)</f>
        <v>0</v>
      </c>
      <c r="R203" s="161" t="s">
        <v>98</v>
      </c>
      <c r="S203" s="161" t="s">
        <v>161</v>
      </c>
      <c r="T203" s="161" t="s">
        <v>161</v>
      </c>
      <c r="U203" s="138"/>
      <c r="V203" s="138"/>
      <c r="W203" s="138"/>
      <c r="X203" s="138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</row>
    <row r="204" spans="1:60" outlineLevel="1" x14ac:dyDescent="0.2">
      <c r="A204" s="183"/>
      <c r="B204" s="165"/>
      <c r="C204" s="309" t="s">
        <v>107</v>
      </c>
      <c r="D204" s="310"/>
      <c r="E204" s="310"/>
      <c r="F204" s="310"/>
      <c r="G204" s="310"/>
      <c r="H204" s="138"/>
      <c r="I204" s="138"/>
      <c r="J204" s="138"/>
      <c r="K204" s="138"/>
      <c r="L204" s="138"/>
      <c r="M204" s="138"/>
      <c r="N204" s="138"/>
      <c r="O204" s="138"/>
      <c r="P204" s="138"/>
      <c r="Q204" s="138"/>
      <c r="R204" s="138"/>
      <c r="S204" s="138"/>
      <c r="T204" s="138"/>
      <c r="U204" s="138"/>
      <c r="V204" s="138"/>
      <c r="W204" s="138"/>
      <c r="X204" s="138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</row>
    <row r="205" spans="1:60" outlineLevel="1" x14ac:dyDescent="0.2">
      <c r="A205" s="183"/>
      <c r="B205" s="165"/>
      <c r="C205" s="211" t="s">
        <v>455</v>
      </c>
      <c r="D205" s="212"/>
      <c r="E205" s="213">
        <f>19+10+6+8+8+18+10</f>
        <v>79</v>
      </c>
      <c r="F205" s="210"/>
      <c r="G205" s="210"/>
      <c r="H205" s="138"/>
      <c r="I205" s="138"/>
      <c r="J205" s="138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</row>
    <row r="206" spans="1:60" outlineLevel="1" x14ac:dyDescent="0.2">
      <c r="A206" s="183"/>
      <c r="B206" s="165"/>
      <c r="C206" s="322"/>
      <c r="D206" s="323"/>
      <c r="E206" s="323"/>
      <c r="F206" s="323"/>
      <c r="G206" s="323"/>
      <c r="H206" s="138"/>
      <c r="I206" s="138"/>
      <c r="J206" s="138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</row>
    <row r="207" spans="1:60" outlineLevel="1" x14ac:dyDescent="0.2">
      <c r="A207" s="140" t="s">
        <v>88</v>
      </c>
      <c r="B207" s="141" t="s">
        <v>120</v>
      </c>
      <c r="C207" s="147" t="s">
        <v>121</v>
      </c>
      <c r="D207" s="142"/>
      <c r="E207" s="143"/>
      <c r="F207" s="144"/>
      <c r="G207" s="144">
        <f>G208+G211</f>
        <v>0</v>
      </c>
      <c r="H207" s="144"/>
      <c r="I207" s="144" t="e">
        <f>SUM(#REF!)</f>
        <v>#REF!</v>
      </c>
      <c r="J207" s="144"/>
      <c r="K207" s="144" t="e">
        <f>SUM(#REF!)</f>
        <v>#REF!</v>
      </c>
      <c r="L207" s="144"/>
      <c r="M207" s="144">
        <f>M208+M211</f>
        <v>0</v>
      </c>
      <c r="N207" s="144"/>
      <c r="O207" s="144" t="e">
        <f>SUM(#REF!)</f>
        <v>#REF!</v>
      </c>
      <c r="P207" s="144"/>
      <c r="Q207" s="144" t="e">
        <f>SUM(#REF!)</f>
        <v>#REF!</v>
      </c>
      <c r="R207" s="144"/>
      <c r="S207" s="144"/>
      <c r="T207" s="145"/>
      <c r="U207" s="138"/>
      <c r="V207" s="138"/>
      <c r="W207" s="138"/>
      <c r="X207" s="138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</row>
    <row r="208" spans="1:60" outlineLevel="1" x14ac:dyDescent="0.2">
      <c r="A208" s="184">
        <f>A203+1</f>
        <v>68</v>
      </c>
      <c r="B208" s="185" t="s">
        <v>138</v>
      </c>
      <c r="C208" s="189" t="s">
        <v>139</v>
      </c>
      <c r="D208" s="186" t="s">
        <v>91</v>
      </c>
      <c r="E208" s="187">
        <v>68</v>
      </c>
      <c r="F208" s="188"/>
      <c r="G208" s="161">
        <f>ROUND(E208*F208,2)</f>
        <v>0</v>
      </c>
      <c r="H208" s="188">
        <v>585.16999999999996</v>
      </c>
      <c r="I208" s="161">
        <f>ROUND(E208*H208,2)</f>
        <v>39791.56</v>
      </c>
      <c r="J208" s="188">
        <v>672.83</v>
      </c>
      <c r="K208" s="161">
        <f>ROUND(E208*J208,2)</f>
        <v>45752.44</v>
      </c>
      <c r="L208" s="161">
        <v>21</v>
      </c>
      <c r="M208" s="161">
        <f>G208*(1+L208/100)</f>
        <v>0</v>
      </c>
      <c r="N208" s="161">
        <v>0.31590000000000001</v>
      </c>
      <c r="O208" s="161">
        <f>ROUND(E208*N208,2)</f>
        <v>21.48</v>
      </c>
      <c r="P208" s="161">
        <v>0</v>
      </c>
      <c r="Q208" s="161">
        <f>ROUND(E208*P208,2)</f>
        <v>0</v>
      </c>
      <c r="R208" s="161" t="s">
        <v>98</v>
      </c>
      <c r="S208" s="161" t="s">
        <v>161</v>
      </c>
      <c r="T208" s="161" t="s">
        <v>161</v>
      </c>
      <c r="U208" s="138"/>
      <c r="V208" s="138"/>
      <c r="W208" s="138"/>
      <c r="X208" s="138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</row>
    <row r="209" spans="1:60" ht="34.15" customHeight="1" outlineLevel="1" x14ac:dyDescent="0.2">
      <c r="A209" s="183"/>
      <c r="B209" s="165"/>
      <c r="C209" s="309" t="s">
        <v>140</v>
      </c>
      <c r="D209" s="310"/>
      <c r="E209" s="310"/>
      <c r="F209" s="310"/>
      <c r="G209" s="310"/>
      <c r="H209" s="138"/>
      <c r="I209" s="138"/>
      <c r="J209" s="138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</row>
    <row r="210" spans="1:60" outlineLevel="1" x14ac:dyDescent="0.2">
      <c r="A210" s="183"/>
      <c r="B210" s="165"/>
      <c r="C210" s="195"/>
      <c r="D210" s="195"/>
      <c r="E210" s="195"/>
      <c r="F210" s="195"/>
      <c r="G210" s="195"/>
      <c r="H210" s="138"/>
      <c r="I210" s="138"/>
      <c r="J210" s="138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</row>
    <row r="211" spans="1:60" outlineLevel="1" x14ac:dyDescent="0.2">
      <c r="A211" s="184">
        <f>A208+1</f>
        <v>69</v>
      </c>
      <c r="B211" s="185" t="s">
        <v>466</v>
      </c>
      <c r="C211" s="189" t="s">
        <v>463</v>
      </c>
      <c r="D211" s="186" t="s">
        <v>91</v>
      </c>
      <c r="E211" s="187">
        <v>1</v>
      </c>
      <c r="F211" s="188"/>
      <c r="G211" s="161">
        <f>ROUND(E211*F211,2)</f>
        <v>0</v>
      </c>
      <c r="H211" s="188">
        <v>585.16999999999996</v>
      </c>
      <c r="I211" s="161">
        <f>ROUND(E211*H211,2)</f>
        <v>585.16999999999996</v>
      </c>
      <c r="J211" s="188">
        <v>672.83</v>
      </c>
      <c r="K211" s="161">
        <f>ROUND(E211*J211,2)</f>
        <v>672.83</v>
      </c>
      <c r="L211" s="161">
        <v>21</v>
      </c>
      <c r="M211" s="161">
        <f>G211*(1+L211/100)</f>
        <v>0</v>
      </c>
      <c r="N211" s="161">
        <v>0.31590000000000001</v>
      </c>
      <c r="O211" s="161">
        <f>ROUND(E211*N211,2)</f>
        <v>0.32</v>
      </c>
      <c r="P211" s="161">
        <v>0</v>
      </c>
      <c r="Q211" s="161">
        <f>ROUND(E211*P211,2)</f>
        <v>0</v>
      </c>
      <c r="R211" s="161" t="s">
        <v>98</v>
      </c>
      <c r="S211" s="161" t="s">
        <v>161</v>
      </c>
      <c r="T211" s="161" t="s">
        <v>161</v>
      </c>
      <c r="U211" s="138"/>
      <c r="V211" s="138"/>
      <c r="W211" s="138"/>
      <c r="X211" s="138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</row>
    <row r="212" spans="1:60" outlineLevel="1" x14ac:dyDescent="0.2">
      <c r="A212" s="183"/>
      <c r="B212" s="165"/>
      <c r="C212" s="198" t="s">
        <v>465</v>
      </c>
      <c r="D212" s="192"/>
      <c r="E212" s="193"/>
      <c r="F212" s="191"/>
      <c r="G212" s="138"/>
      <c r="H212" s="190"/>
      <c r="I212" s="138"/>
      <c r="J212" s="190"/>
      <c r="K212" s="138"/>
      <c r="L212" s="138"/>
      <c r="M212" s="138"/>
      <c r="N212" s="138"/>
      <c r="O212" s="138"/>
      <c r="P212" s="138"/>
      <c r="Q212" s="138"/>
      <c r="R212" s="138"/>
      <c r="S212" s="138"/>
      <c r="T212" s="138"/>
      <c r="U212" s="138"/>
      <c r="V212" s="138"/>
      <c r="W212" s="138"/>
      <c r="X212" s="138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</row>
    <row r="213" spans="1:60" outlineLevel="1" x14ac:dyDescent="0.2">
      <c r="A213" s="183"/>
      <c r="B213" s="165"/>
      <c r="C213" s="211" t="s">
        <v>464</v>
      </c>
      <c r="D213" s="212"/>
      <c r="E213" s="213">
        <v>1</v>
      </c>
      <c r="F213" s="210"/>
      <c r="G213" s="210"/>
      <c r="H213" s="190"/>
      <c r="I213" s="138"/>
      <c r="J213" s="190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</row>
    <row r="214" spans="1:60" outlineLevel="1" x14ac:dyDescent="0.2">
      <c r="A214" s="183"/>
      <c r="B214" s="165"/>
      <c r="C214" s="195"/>
      <c r="D214" s="195"/>
      <c r="E214" s="195"/>
      <c r="F214" s="195"/>
      <c r="G214" s="195"/>
      <c r="H214" s="138"/>
      <c r="I214" s="138"/>
      <c r="J214" s="138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</row>
    <row r="215" spans="1:60" outlineLevel="1" x14ac:dyDescent="0.2">
      <c r="A215" s="140" t="s">
        <v>88</v>
      </c>
      <c r="B215" s="141" t="s">
        <v>141</v>
      </c>
      <c r="C215" s="147" t="s">
        <v>142</v>
      </c>
      <c r="D215" s="142"/>
      <c r="E215" s="143"/>
      <c r="F215" s="144"/>
      <c r="G215" s="144">
        <f>G216+G219</f>
        <v>0</v>
      </c>
      <c r="H215" s="144"/>
      <c r="I215" s="144" t="e">
        <f>SUM(#REF!)</f>
        <v>#REF!</v>
      </c>
      <c r="J215" s="144"/>
      <c r="K215" s="144" t="e">
        <f>SUM(#REF!)</f>
        <v>#REF!</v>
      </c>
      <c r="L215" s="144"/>
      <c r="M215" s="144">
        <f>M216+M219</f>
        <v>0</v>
      </c>
      <c r="N215" s="144"/>
      <c r="O215" s="144" t="e">
        <f>SUM(#REF!)</f>
        <v>#REF!</v>
      </c>
      <c r="P215" s="144"/>
      <c r="Q215" s="144" t="e">
        <f>SUM(#REF!)</f>
        <v>#REF!</v>
      </c>
      <c r="R215" s="144"/>
      <c r="S215" s="144"/>
      <c r="T215" s="145"/>
      <c r="U215" s="138"/>
      <c r="V215" s="138"/>
      <c r="W215" s="138"/>
      <c r="X215" s="138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</row>
    <row r="216" spans="1:60" outlineLevel="1" x14ac:dyDescent="0.2">
      <c r="A216" s="184">
        <f>A211+1</f>
        <v>70</v>
      </c>
      <c r="B216" s="185" t="s">
        <v>143</v>
      </c>
      <c r="C216" s="189" t="s">
        <v>405</v>
      </c>
      <c r="D216" s="186" t="s">
        <v>91</v>
      </c>
      <c r="E216" s="187">
        <v>23</v>
      </c>
      <c r="F216" s="188"/>
      <c r="G216" s="161">
        <f>E216*F216</f>
        <v>0</v>
      </c>
      <c r="H216" s="197">
        <v>339.99</v>
      </c>
      <c r="I216" s="161">
        <v>679.98</v>
      </c>
      <c r="J216" s="197">
        <v>352.01</v>
      </c>
      <c r="K216" s="161">
        <v>704.02</v>
      </c>
      <c r="L216" s="161">
        <v>21</v>
      </c>
      <c r="M216" s="161">
        <f>G216*1.21</f>
        <v>0</v>
      </c>
      <c r="N216" s="161">
        <v>0.25080000000000002</v>
      </c>
      <c r="O216" s="161">
        <v>0.5</v>
      </c>
      <c r="P216" s="161">
        <v>0</v>
      </c>
      <c r="Q216" s="161">
        <v>0</v>
      </c>
      <c r="R216" s="161" t="s">
        <v>98</v>
      </c>
      <c r="S216" s="161" t="s">
        <v>161</v>
      </c>
      <c r="T216" s="161" t="s">
        <v>161</v>
      </c>
      <c r="U216" s="138"/>
      <c r="V216" s="138"/>
      <c r="W216" s="138"/>
      <c r="X216" s="138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</row>
    <row r="217" spans="1:60" outlineLevel="1" x14ac:dyDescent="0.2">
      <c r="A217" s="240"/>
      <c r="B217" s="199"/>
      <c r="C217" s="309" t="s">
        <v>410</v>
      </c>
      <c r="D217" s="310"/>
      <c r="E217" s="310"/>
      <c r="F217" s="310"/>
      <c r="G217" s="310"/>
      <c r="H217" s="139"/>
      <c r="I217" s="139"/>
      <c r="J217" s="139"/>
      <c r="K217" s="139"/>
      <c r="L217" s="200"/>
      <c r="M217" s="200"/>
      <c r="N217" s="200"/>
      <c r="O217" s="200"/>
      <c r="P217" s="200"/>
      <c r="Q217" s="200"/>
      <c r="R217" s="200"/>
      <c r="S217" s="200"/>
      <c r="T217" s="200"/>
      <c r="U217" s="138"/>
      <c r="V217" s="138"/>
      <c r="W217" s="138"/>
      <c r="X217" s="138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</row>
    <row r="218" spans="1:60" outlineLevel="1" x14ac:dyDescent="0.2">
      <c r="A218" s="26"/>
      <c r="B218" s="199"/>
      <c r="C218" s="322"/>
      <c r="D218" s="323"/>
      <c r="E218" s="323"/>
      <c r="F218" s="323"/>
      <c r="G218" s="323"/>
      <c r="H218" s="139"/>
      <c r="I218" s="139"/>
      <c r="J218" s="139"/>
      <c r="K218" s="139"/>
      <c r="L218" s="200"/>
      <c r="M218" s="200"/>
      <c r="N218" s="200"/>
      <c r="O218" s="200"/>
      <c r="P218" s="200"/>
      <c r="Q218" s="200"/>
      <c r="R218" s="200"/>
      <c r="S218" s="201"/>
      <c r="T218" s="201"/>
      <c r="U218" s="138"/>
      <c r="V218" s="138"/>
      <c r="W218" s="138"/>
      <c r="X218" s="138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</row>
    <row r="219" spans="1:60" outlineLevel="1" x14ac:dyDescent="0.2">
      <c r="A219" s="184">
        <f>A216+1</f>
        <v>71</v>
      </c>
      <c r="B219" s="185" t="s">
        <v>407</v>
      </c>
      <c r="C219" s="189" t="s">
        <v>406</v>
      </c>
      <c r="D219" s="186" t="s">
        <v>91</v>
      </c>
      <c r="E219" s="187">
        <v>10</v>
      </c>
      <c r="F219" s="188"/>
      <c r="G219" s="161">
        <f>E219*F219</f>
        <v>0</v>
      </c>
      <c r="H219" s="197">
        <v>339.99</v>
      </c>
      <c r="I219" s="161">
        <v>679.98</v>
      </c>
      <c r="J219" s="197">
        <v>352.01</v>
      </c>
      <c r="K219" s="161">
        <v>704.02</v>
      </c>
      <c r="L219" s="161">
        <v>21</v>
      </c>
      <c r="M219" s="161">
        <f>G219*1.21</f>
        <v>0</v>
      </c>
      <c r="N219" s="161">
        <v>0.25080000000000002</v>
      </c>
      <c r="O219" s="161">
        <v>0.5</v>
      </c>
      <c r="P219" s="161">
        <v>0</v>
      </c>
      <c r="Q219" s="161">
        <v>0</v>
      </c>
      <c r="R219" s="161" t="s">
        <v>98</v>
      </c>
      <c r="S219" s="161" t="s">
        <v>161</v>
      </c>
      <c r="T219" s="161" t="s">
        <v>161</v>
      </c>
      <c r="U219" s="138"/>
      <c r="V219" s="138"/>
      <c r="W219" s="138"/>
      <c r="X219" s="138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</row>
    <row r="220" spans="1:60" outlineLevel="1" x14ac:dyDescent="0.2">
      <c r="A220" s="240"/>
      <c r="B220" s="199"/>
      <c r="C220" s="309" t="s">
        <v>408</v>
      </c>
      <c r="D220" s="310"/>
      <c r="E220" s="310"/>
      <c r="F220" s="310"/>
      <c r="G220" s="310"/>
      <c r="H220" s="139"/>
      <c r="I220" s="139"/>
      <c r="J220" s="139"/>
      <c r="K220" s="139"/>
      <c r="L220" s="200"/>
      <c r="M220" s="200"/>
      <c r="N220" s="200"/>
      <c r="O220" s="200"/>
      <c r="P220" s="200"/>
      <c r="Q220" s="200"/>
      <c r="R220" s="200"/>
      <c r="S220" s="200"/>
      <c r="T220" s="200"/>
      <c r="U220" s="138"/>
      <c r="V220" s="138"/>
      <c r="W220" s="138"/>
      <c r="X220" s="138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</row>
    <row r="221" spans="1:60" outlineLevel="1" x14ac:dyDescent="0.2">
      <c r="A221" s="240"/>
      <c r="B221" s="199"/>
      <c r="C221" s="211" t="s">
        <v>457</v>
      </c>
      <c r="D221" s="212"/>
      <c r="E221" s="213">
        <v>10</v>
      </c>
      <c r="F221" s="210"/>
      <c r="G221" s="210"/>
      <c r="H221" s="139"/>
      <c r="I221" s="139"/>
      <c r="J221" s="139"/>
      <c r="K221" s="139"/>
      <c r="L221" s="200"/>
      <c r="M221" s="200"/>
      <c r="N221" s="200"/>
      <c r="O221" s="200"/>
      <c r="P221" s="200"/>
      <c r="Q221" s="200"/>
      <c r="R221" s="200"/>
      <c r="S221" s="200"/>
      <c r="T221" s="200"/>
      <c r="U221" s="138"/>
      <c r="V221" s="138"/>
      <c r="W221" s="138"/>
      <c r="X221" s="138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</row>
    <row r="222" spans="1:60" outlineLevel="1" x14ac:dyDescent="0.2">
      <c r="A222" s="240"/>
      <c r="B222" s="199"/>
      <c r="C222" s="195"/>
      <c r="D222" s="196"/>
      <c r="E222" s="196"/>
      <c r="F222" s="196"/>
      <c r="G222" s="196"/>
      <c r="H222" s="139"/>
      <c r="I222" s="139"/>
      <c r="J222" s="139"/>
      <c r="K222" s="139"/>
      <c r="L222" s="200"/>
      <c r="M222" s="200"/>
      <c r="N222" s="200"/>
      <c r="O222" s="200"/>
      <c r="P222" s="200"/>
      <c r="Q222" s="200"/>
      <c r="R222" s="200"/>
      <c r="S222" s="200"/>
      <c r="T222" s="200"/>
      <c r="U222" s="138"/>
      <c r="V222" s="138"/>
      <c r="W222" s="138"/>
      <c r="X222" s="138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</row>
    <row r="223" spans="1:60" outlineLevel="1" x14ac:dyDescent="0.2">
      <c r="A223" s="140" t="s">
        <v>88</v>
      </c>
      <c r="B223" s="141" t="s">
        <v>144</v>
      </c>
      <c r="C223" s="147" t="s">
        <v>145</v>
      </c>
      <c r="D223" s="142"/>
      <c r="E223" s="143"/>
      <c r="F223" s="144"/>
      <c r="G223" s="144">
        <f>SUMIF(AG224:AG235,"&lt;&gt;NOR",G224:G235)</f>
        <v>0</v>
      </c>
      <c r="H223" s="144"/>
      <c r="I223" s="144">
        <f>SUM(I224:I235)</f>
        <v>0</v>
      </c>
      <c r="J223" s="144"/>
      <c r="K223" s="144">
        <f>SUM(K224:K235)</f>
        <v>665949.64</v>
      </c>
      <c r="L223" s="144"/>
      <c r="M223" s="144">
        <f>SUM(M224:M235)</f>
        <v>0</v>
      </c>
      <c r="N223" s="144"/>
      <c r="O223" s="144">
        <f>SUM(O224:O235)</f>
        <v>0</v>
      </c>
      <c r="P223" s="144"/>
      <c r="Q223" s="144">
        <f>SUM(Q224:Q235)</f>
        <v>0</v>
      </c>
      <c r="R223" s="144"/>
      <c r="S223" s="144"/>
      <c r="T223" s="145"/>
      <c r="U223" s="138"/>
      <c r="V223" s="138"/>
      <c r="W223" s="138"/>
      <c r="X223" s="138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</row>
    <row r="224" spans="1:60" outlineLevel="1" x14ac:dyDescent="0.2">
      <c r="A224" s="184">
        <f>A219+1</f>
        <v>72</v>
      </c>
      <c r="B224" s="185" t="s">
        <v>146</v>
      </c>
      <c r="C224" s="189" t="s">
        <v>147</v>
      </c>
      <c r="D224" s="186" t="s">
        <v>106</v>
      </c>
      <c r="E224" s="187">
        <f>E193*0.08*0.25*2+E184*0.15*0.25*2+E182*0.15*0.15*2+E180*0.15*0.25*2+12*0.4*0.5*2*0.75+E116*0.08*2+E114*0.08*2+E108*0.06*2+E106*0.06*2+5*0.8+E186*0.085+E188*0.085</f>
        <v>511.79360000000003</v>
      </c>
      <c r="F224" s="188"/>
      <c r="G224" s="161">
        <f>ROUND(E224*F224,2)</f>
        <v>0</v>
      </c>
      <c r="H224" s="188">
        <v>0</v>
      </c>
      <c r="I224" s="161">
        <f>ROUND(E224*H224,2)</f>
        <v>0</v>
      </c>
      <c r="J224" s="188">
        <v>225.5</v>
      </c>
      <c r="K224" s="161">
        <f>ROUND(E224*J224,2)</f>
        <v>115409.46</v>
      </c>
      <c r="L224" s="161">
        <v>21</v>
      </c>
      <c r="M224" s="161">
        <f>G224*(1+L224/100)</f>
        <v>0</v>
      </c>
      <c r="N224" s="161">
        <v>0</v>
      </c>
      <c r="O224" s="161">
        <f>ROUND(E224*N224,2)</f>
        <v>0</v>
      </c>
      <c r="P224" s="161">
        <v>0</v>
      </c>
      <c r="Q224" s="161">
        <f>ROUND(E224*P224,2)</f>
        <v>0</v>
      </c>
      <c r="R224" s="161" t="s">
        <v>98</v>
      </c>
      <c r="S224" s="161" t="s">
        <v>161</v>
      </c>
      <c r="T224" s="161" t="s">
        <v>161</v>
      </c>
      <c r="U224" s="138"/>
      <c r="V224" s="138"/>
      <c r="W224" s="138"/>
      <c r="X224" s="138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</row>
    <row r="225" spans="1:60" ht="33.75" outlineLevel="1" x14ac:dyDescent="0.2">
      <c r="A225" s="183"/>
      <c r="B225" s="165"/>
      <c r="C225" s="208" t="s">
        <v>303</v>
      </c>
      <c r="D225" s="209"/>
      <c r="E225" s="209"/>
      <c r="F225" s="209"/>
      <c r="G225" s="209"/>
      <c r="H225" s="190"/>
      <c r="I225" s="138"/>
      <c r="J225" s="190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</row>
    <row r="226" spans="1:60" outlineLevel="1" x14ac:dyDescent="0.2">
      <c r="A226" s="183"/>
      <c r="B226" s="165"/>
      <c r="C226" s="211" t="s">
        <v>384</v>
      </c>
      <c r="D226" s="212"/>
      <c r="E226" s="213">
        <f>E224</f>
        <v>511.79360000000003</v>
      </c>
      <c r="F226" s="209"/>
      <c r="G226" s="209"/>
      <c r="H226" s="190"/>
      <c r="I226" s="138"/>
      <c r="J226" s="190"/>
      <c r="K226" s="138"/>
      <c r="L226" s="138"/>
      <c r="M226" s="138"/>
      <c r="N226" s="138"/>
      <c r="O226" s="138"/>
      <c r="P226" s="138"/>
      <c r="Q226" s="138"/>
      <c r="R226" s="138"/>
      <c r="S226" s="138"/>
      <c r="T226" s="138"/>
      <c r="U226" s="138"/>
      <c r="V226" s="138"/>
      <c r="W226" s="138"/>
      <c r="X226" s="138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</row>
    <row r="227" spans="1:60" outlineLevel="1" x14ac:dyDescent="0.2">
      <c r="A227" s="183"/>
      <c r="B227" s="165"/>
      <c r="C227" s="322"/>
      <c r="D227" s="323"/>
      <c r="E227" s="323"/>
      <c r="F227" s="323"/>
      <c r="G227" s="323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</row>
    <row r="228" spans="1:60" outlineLevel="1" x14ac:dyDescent="0.2">
      <c r="A228" s="184">
        <f>A224+1</f>
        <v>73</v>
      </c>
      <c r="B228" s="185" t="s">
        <v>148</v>
      </c>
      <c r="C228" s="189" t="s">
        <v>149</v>
      </c>
      <c r="D228" s="186" t="s">
        <v>106</v>
      </c>
      <c r="E228" s="187">
        <f>E78*0.05*1.9+E81*0.1*1.9+E84*0.15*1.9+E87*0.15*1.9+E90*0.2*2+E60+E93*0.35*2</f>
        <v>5159.2700000000004</v>
      </c>
      <c r="F228" s="188"/>
      <c r="G228" s="161">
        <f>ROUND(E228*F228,2)</f>
        <v>0</v>
      </c>
      <c r="H228" s="188">
        <v>0</v>
      </c>
      <c r="I228" s="161">
        <f>ROUND(E228*H228,2)</f>
        <v>0</v>
      </c>
      <c r="J228" s="188">
        <v>71.2</v>
      </c>
      <c r="K228" s="161">
        <f>ROUND(E228*J228,2)</f>
        <v>367340.02</v>
      </c>
      <c r="L228" s="161">
        <v>21</v>
      </c>
      <c r="M228" s="161">
        <f>G228*(1+L228/100)</f>
        <v>0</v>
      </c>
      <c r="N228" s="161">
        <v>0</v>
      </c>
      <c r="O228" s="161">
        <f>ROUND(E228*N228,2)</f>
        <v>0</v>
      </c>
      <c r="P228" s="161">
        <v>0</v>
      </c>
      <c r="Q228" s="161">
        <f>ROUND(E228*P228,2)</f>
        <v>0</v>
      </c>
      <c r="R228" s="161" t="s">
        <v>98</v>
      </c>
      <c r="S228" s="161" t="s">
        <v>161</v>
      </c>
      <c r="T228" s="161" t="s">
        <v>161</v>
      </c>
      <c r="U228" s="138"/>
      <c r="V228" s="138"/>
      <c r="W228" s="138"/>
      <c r="X228" s="138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</row>
    <row r="229" spans="1:60" ht="33.75" outlineLevel="1" x14ac:dyDescent="0.2">
      <c r="A229" s="183"/>
      <c r="B229" s="165"/>
      <c r="C229" s="208" t="s">
        <v>303</v>
      </c>
      <c r="D229" s="209"/>
      <c r="E229" s="209"/>
      <c r="F229" s="209"/>
      <c r="G229" s="209"/>
      <c r="H229" s="190"/>
      <c r="I229" s="138"/>
      <c r="J229" s="190"/>
      <c r="K229" s="138"/>
      <c r="L229" s="138"/>
      <c r="M229" s="138"/>
      <c r="N229" s="138"/>
      <c r="O229" s="138"/>
      <c r="P229" s="138"/>
      <c r="Q229" s="138"/>
      <c r="R229" s="138"/>
      <c r="S229" s="138"/>
      <c r="T229" s="138"/>
      <c r="U229" s="138"/>
      <c r="V229" s="138"/>
      <c r="W229" s="138"/>
      <c r="X229" s="138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</row>
    <row r="230" spans="1:60" outlineLevel="1" x14ac:dyDescent="0.2">
      <c r="A230" s="183"/>
      <c r="B230" s="165"/>
      <c r="C230" s="211" t="s">
        <v>313</v>
      </c>
      <c r="D230" s="212"/>
      <c r="E230" s="213">
        <f>E228</f>
        <v>5159.2700000000004</v>
      </c>
      <c r="F230" s="209"/>
      <c r="G230" s="209"/>
      <c r="H230" s="190"/>
      <c r="I230" s="138"/>
      <c r="J230" s="190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</row>
    <row r="231" spans="1:60" outlineLevel="1" x14ac:dyDescent="0.2">
      <c r="A231" s="183"/>
      <c r="B231" s="165"/>
      <c r="C231" s="195"/>
      <c r="D231" s="196"/>
      <c r="E231" s="196"/>
      <c r="F231" s="196"/>
      <c r="G231" s="196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</row>
    <row r="232" spans="1:60" outlineLevel="1" x14ac:dyDescent="0.2">
      <c r="A232" s="184">
        <f>A228+1</f>
        <v>74</v>
      </c>
      <c r="B232" s="185" t="s">
        <v>305</v>
      </c>
      <c r="C232" s="189" t="s">
        <v>304</v>
      </c>
      <c r="D232" s="186" t="s">
        <v>106</v>
      </c>
      <c r="E232" s="187">
        <f>E234</f>
        <v>2573.0359999999996</v>
      </c>
      <c r="F232" s="188"/>
      <c r="G232" s="161">
        <f>ROUND(E232*F232,2)</f>
        <v>0</v>
      </c>
      <c r="H232" s="188">
        <v>0</v>
      </c>
      <c r="I232" s="161">
        <f>ROUND(E232*H232,2)</f>
        <v>0</v>
      </c>
      <c r="J232" s="188">
        <v>71.2</v>
      </c>
      <c r="K232" s="161">
        <f>ROUND(E232*J232,2)</f>
        <v>183200.16</v>
      </c>
      <c r="L232" s="161">
        <v>21</v>
      </c>
      <c r="M232" s="161">
        <f>G232*(1+L232/100)</f>
        <v>0</v>
      </c>
      <c r="N232" s="161">
        <v>0</v>
      </c>
      <c r="O232" s="161">
        <f>ROUND(E232*N232,2)</f>
        <v>0</v>
      </c>
      <c r="P232" s="161">
        <v>0</v>
      </c>
      <c r="Q232" s="161">
        <f>ROUND(E232*P232,2)</f>
        <v>0</v>
      </c>
      <c r="R232" s="161" t="s">
        <v>98</v>
      </c>
      <c r="S232" s="161" t="s">
        <v>161</v>
      </c>
      <c r="T232" s="161" t="s">
        <v>161</v>
      </c>
      <c r="U232" s="138"/>
      <c r="V232" s="138"/>
      <c r="W232" s="138"/>
      <c r="X232" s="138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</row>
    <row r="233" spans="1:60" ht="33.75" outlineLevel="1" x14ac:dyDescent="0.2">
      <c r="A233" s="183"/>
      <c r="B233" s="165"/>
      <c r="C233" s="208" t="s">
        <v>303</v>
      </c>
      <c r="D233" s="209"/>
      <c r="E233" s="209"/>
      <c r="F233" s="209"/>
      <c r="G233" s="209"/>
      <c r="H233" s="190"/>
      <c r="I233" s="138"/>
      <c r="J233" s="190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</row>
    <row r="234" spans="1:60" outlineLevel="1" x14ac:dyDescent="0.2">
      <c r="A234" s="183"/>
      <c r="B234" s="165"/>
      <c r="C234" s="211" t="s">
        <v>314</v>
      </c>
      <c r="D234" s="212"/>
      <c r="E234" s="213">
        <f>E130*0.04*2.53+E128*0.07*2.53+E96*0.12*2.5+E172*2.5+E176*0.3*0.4*2.5+E190*0.3*0.2*2.5+E99*0.15*2.5</f>
        <v>2573.0359999999996</v>
      </c>
      <c r="F234" s="209"/>
      <c r="G234" s="209"/>
      <c r="H234" s="190"/>
      <c r="I234" s="138"/>
      <c r="J234" s="190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</row>
    <row r="235" spans="1:60" outlineLevel="1" x14ac:dyDescent="0.2">
      <c r="A235" s="183"/>
      <c r="B235" s="165"/>
      <c r="C235" s="322"/>
      <c r="D235" s="323"/>
      <c r="E235" s="323"/>
      <c r="F235" s="323"/>
      <c r="G235" s="323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</row>
    <row r="236" spans="1:60" outlineLevel="1" x14ac:dyDescent="0.2">
      <c r="A236" s="140" t="s">
        <v>88</v>
      </c>
      <c r="B236" s="141" t="s">
        <v>57</v>
      </c>
      <c r="C236" s="147" t="s">
        <v>58</v>
      </c>
      <c r="D236" s="142"/>
      <c r="E236" s="143"/>
      <c r="F236" s="144"/>
      <c r="G236" s="144">
        <f>SUMIF(AG237:AG251,"&lt;&gt;NOR",G237:G251)</f>
        <v>0</v>
      </c>
      <c r="H236" s="144"/>
      <c r="I236" s="144">
        <f>SUM(I237:I248)</f>
        <v>0</v>
      </c>
      <c r="J236" s="144"/>
      <c r="K236" s="144">
        <f>SUM(K237:K248)</f>
        <v>82073162.649999991</v>
      </c>
      <c r="L236" s="144"/>
      <c r="M236" s="144">
        <f>SUM(M237:M251)</f>
        <v>0</v>
      </c>
      <c r="N236" s="144"/>
      <c r="O236" s="144">
        <f>SUM(O237:O248)</f>
        <v>0</v>
      </c>
      <c r="P236" s="144"/>
      <c r="Q236" s="144">
        <f>SUM(Q237:Q248)</f>
        <v>0</v>
      </c>
      <c r="R236" s="144"/>
      <c r="S236" s="144"/>
      <c r="T236" s="145"/>
      <c r="U236" s="138"/>
      <c r="V236" s="138"/>
      <c r="W236" s="138"/>
      <c r="X236" s="138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</row>
    <row r="237" spans="1:60" ht="22.5" outlineLevel="1" x14ac:dyDescent="0.2">
      <c r="A237" s="184">
        <f>A232+1</f>
        <v>75</v>
      </c>
      <c r="B237" s="185" t="s">
        <v>327</v>
      </c>
      <c r="C237" s="189" t="s">
        <v>328</v>
      </c>
      <c r="D237" s="186" t="s">
        <v>106</v>
      </c>
      <c r="E237" s="187">
        <f>E238</f>
        <v>5458.9735000000001</v>
      </c>
      <c r="F237" s="188"/>
      <c r="G237" s="161">
        <f>ROUND(E237*F237,2)</f>
        <v>0</v>
      </c>
      <c r="H237" s="188">
        <v>0</v>
      </c>
      <c r="I237" s="161">
        <f>ROUND(E237*H237,2)</f>
        <v>0</v>
      </c>
      <c r="J237" s="188">
        <v>740</v>
      </c>
      <c r="K237" s="161">
        <f>ROUND(E237*J237,2)</f>
        <v>4039640.39</v>
      </c>
      <c r="L237" s="161">
        <v>21</v>
      </c>
      <c r="M237" s="161">
        <f>G237*(1+L237/100)</f>
        <v>0</v>
      </c>
      <c r="N237" s="161">
        <v>0</v>
      </c>
      <c r="O237" s="161">
        <f>ROUND(E237*N237,2)</f>
        <v>0</v>
      </c>
      <c r="P237" s="161">
        <v>0</v>
      </c>
      <c r="Q237" s="161">
        <f>ROUND(E237*P237,2)</f>
        <v>0</v>
      </c>
      <c r="R237" s="161" t="s">
        <v>98</v>
      </c>
      <c r="S237" s="161" t="s">
        <v>161</v>
      </c>
      <c r="T237" s="161" t="s">
        <v>161</v>
      </c>
      <c r="U237" s="138"/>
      <c r="V237" s="138"/>
      <c r="W237" s="138"/>
      <c r="X237" s="138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</row>
    <row r="238" spans="1:60" ht="12.75" customHeight="1" outlineLevel="1" x14ac:dyDescent="0.2">
      <c r="A238" s="183"/>
      <c r="B238" s="165"/>
      <c r="C238" s="211" t="s">
        <v>462</v>
      </c>
      <c r="D238" s="212"/>
      <c r="E238" s="213">
        <f>E244+E247+E250</f>
        <v>5458.9735000000001</v>
      </c>
      <c r="F238" s="209"/>
      <c r="G238" s="209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</row>
    <row r="239" spans="1:60" outlineLevel="1" x14ac:dyDescent="0.2">
      <c r="A239" s="183"/>
      <c r="B239" s="165"/>
      <c r="C239" s="322"/>
      <c r="D239" s="323"/>
      <c r="E239" s="323"/>
      <c r="F239" s="323"/>
      <c r="G239" s="323"/>
      <c r="H239" s="138"/>
      <c r="I239" s="138"/>
      <c r="J239" s="138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</row>
    <row r="240" spans="1:60" ht="22.5" outlineLevel="1" x14ac:dyDescent="0.2">
      <c r="A240" s="184">
        <f>A237+1</f>
        <v>76</v>
      </c>
      <c r="B240" s="185" t="s">
        <v>330</v>
      </c>
      <c r="C240" s="189" t="s">
        <v>329</v>
      </c>
      <c r="D240" s="186" t="s">
        <v>106</v>
      </c>
      <c r="E240" s="187">
        <f>E241</f>
        <v>103720.49650000001</v>
      </c>
      <c r="F240" s="188"/>
      <c r="G240" s="161">
        <f>ROUND(E240*F240,2)</f>
        <v>0</v>
      </c>
      <c r="H240" s="188">
        <v>0</v>
      </c>
      <c r="I240" s="161">
        <f>ROUND(E240*H240,2)</f>
        <v>0</v>
      </c>
      <c r="J240" s="188">
        <v>740</v>
      </c>
      <c r="K240" s="161">
        <f>ROUND(E240*J240,2)</f>
        <v>76753167.409999996</v>
      </c>
      <c r="L240" s="161">
        <v>21</v>
      </c>
      <c r="M240" s="161">
        <f>G240*(1+L240/100)</f>
        <v>0</v>
      </c>
      <c r="N240" s="161">
        <v>0</v>
      </c>
      <c r="O240" s="161">
        <f>ROUND(E240*N240,2)</f>
        <v>0</v>
      </c>
      <c r="P240" s="161">
        <v>0</v>
      </c>
      <c r="Q240" s="161">
        <f>ROUND(E240*P240,2)</f>
        <v>0</v>
      </c>
      <c r="R240" s="161" t="s">
        <v>98</v>
      </c>
      <c r="S240" s="161" t="s">
        <v>161</v>
      </c>
      <c r="T240" s="161" t="s">
        <v>161</v>
      </c>
      <c r="U240" s="138"/>
      <c r="V240" s="138"/>
      <c r="W240" s="138"/>
      <c r="X240" s="138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</row>
    <row r="241" spans="1:60" outlineLevel="1" x14ac:dyDescent="0.2">
      <c r="A241" s="183"/>
      <c r="B241" s="165"/>
      <c r="C241" s="211" t="s">
        <v>461</v>
      </c>
      <c r="D241" s="212"/>
      <c r="E241" s="213">
        <f>E238*19</f>
        <v>103720.49650000001</v>
      </c>
      <c r="F241" s="209"/>
      <c r="G241" s="209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</row>
    <row r="242" spans="1:60" outlineLevel="1" x14ac:dyDescent="0.2">
      <c r="A242" s="183"/>
      <c r="B242" s="165"/>
      <c r="C242" s="195"/>
      <c r="D242" s="196"/>
      <c r="E242" s="196"/>
      <c r="F242" s="196"/>
      <c r="G242" s="196"/>
      <c r="H242" s="138"/>
      <c r="I242" s="138"/>
      <c r="J242" s="138"/>
      <c r="K242" s="138"/>
      <c r="L242" s="138"/>
      <c r="M242" s="138"/>
      <c r="N242" s="138"/>
      <c r="O242" s="138"/>
      <c r="P242" s="138"/>
      <c r="Q242" s="138"/>
      <c r="R242" s="138"/>
      <c r="S242" s="138"/>
      <c r="T242" s="138"/>
      <c r="U242" s="138"/>
      <c r="V242" s="138"/>
      <c r="W242" s="138"/>
      <c r="X242" s="138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</row>
    <row r="243" spans="1:60" outlineLevel="1" x14ac:dyDescent="0.2">
      <c r="A243" s="184">
        <f>A240+1</f>
        <v>77</v>
      </c>
      <c r="B243" s="185" t="s">
        <v>318</v>
      </c>
      <c r="C243" s="189" t="s">
        <v>316</v>
      </c>
      <c r="D243" s="186" t="s">
        <v>106</v>
      </c>
      <c r="E243" s="187">
        <f>E244</f>
        <v>355.96949999999998</v>
      </c>
      <c r="F243" s="188"/>
      <c r="G243" s="161">
        <f>ROUND(E243*F243,2)</f>
        <v>0</v>
      </c>
      <c r="H243" s="188">
        <v>0</v>
      </c>
      <c r="I243" s="161">
        <f>ROUND(E243*H243,2)</f>
        <v>0</v>
      </c>
      <c r="J243" s="188">
        <v>300</v>
      </c>
      <c r="K243" s="161">
        <f>ROUND(E243*J243,2)</f>
        <v>106790.85</v>
      </c>
      <c r="L243" s="161">
        <v>21</v>
      </c>
      <c r="M243" s="161">
        <f>G243*(1+L243/100)</f>
        <v>0</v>
      </c>
      <c r="N243" s="161">
        <v>0</v>
      </c>
      <c r="O243" s="161">
        <f>ROUND(E243*N243,2)</f>
        <v>0</v>
      </c>
      <c r="P243" s="161">
        <v>0</v>
      </c>
      <c r="Q243" s="161">
        <f>ROUND(E243*P243,2)</f>
        <v>0</v>
      </c>
      <c r="R243" s="161" t="s">
        <v>150</v>
      </c>
      <c r="S243" s="161" t="s">
        <v>161</v>
      </c>
      <c r="T243" s="161" t="s">
        <v>161</v>
      </c>
      <c r="U243" s="138"/>
      <c r="V243" s="138"/>
      <c r="W243" s="138"/>
      <c r="X243" s="138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</row>
    <row r="244" spans="1:60" outlineLevel="1" x14ac:dyDescent="0.2">
      <c r="A244" s="183"/>
      <c r="B244" s="165"/>
      <c r="C244" s="211" t="s">
        <v>460</v>
      </c>
      <c r="D244" s="212"/>
      <c r="E244" s="213">
        <f>23*0.6*0.6*1.2*2+448.5*0.3*0.3*2.5+247*0.15*2.5+712.8*0.08*2.5</f>
        <v>355.96949999999998</v>
      </c>
      <c r="F244" s="209"/>
      <c r="G244" s="209"/>
      <c r="H244" s="190"/>
      <c r="I244" s="138"/>
      <c r="J244" s="190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</row>
    <row r="245" spans="1:60" outlineLevel="1" x14ac:dyDescent="0.2">
      <c r="A245" s="183"/>
      <c r="B245" s="165"/>
      <c r="C245" s="195"/>
      <c r="D245" s="196"/>
      <c r="E245" s="196"/>
      <c r="F245" s="196"/>
      <c r="G245" s="196"/>
      <c r="H245" s="138"/>
      <c r="I245" s="138"/>
      <c r="J245" s="138"/>
      <c r="K245" s="138"/>
      <c r="L245" s="138"/>
      <c r="M245" s="138"/>
      <c r="N245" s="138"/>
      <c r="O245" s="138"/>
      <c r="P245" s="138"/>
      <c r="Q245" s="138"/>
      <c r="R245" s="138"/>
      <c r="S245" s="138"/>
      <c r="T245" s="138"/>
      <c r="U245" s="138"/>
      <c r="V245" s="138"/>
      <c r="W245" s="138"/>
      <c r="X245" s="138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</row>
    <row r="246" spans="1:60" ht="12.75" customHeight="1" outlineLevel="1" x14ac:dyDescent="0.2">
      <c r="A246" s="184">
        <f>A243+1</f>
        <v>78</v>
      </c>
      <c r="B246" s="185" t="s">
        <v>320</v>
      </c>
      <c r="C246" s="189" t="s">
        <v>317</v>
      </c>
      <c r="D246" s="186" t="s">
        <v>106</v>
      </c>
      <c r="E246" s="187">
        <f>E247</f>
        <v>3911.88</v>
      </c>
      <c r="F246" s="188"/>
      <c r="G246" s="161">
        <f>ROUND(E246*F246,2)</f>
        <v>0</v>
      </c>
      <c r="H246" s="188">
        <v>0</v>
      </c>
      <c r="I246" s="161">
        <f>ROUND(E246*H246,2)</f>
        <v>0</v>
      </c>
      <c r="J246" s="188">
        <v>300</v>
      </c>
      <c r="K246" s="161">
        <f>ROUND(E246*J246,2)</f>
        <v>1173564</v>
      </c>
      <c r="L246" s="161">
        <v>21</v>
      </c>
      <c r="M246" s="161">
        <f>G246*(1+L246/100)</f>
        <v>0</v>
      </c>
      <c r="N246" s="161">
        <v>0</v>
      </c>
      <c r="O246" s="161">
        <f>ROUND(E246*N246,2)</f>
        <v>0</v>
      </c>
      <c r="P246" s="161">
        <v>0</v>
      </c>
      <c r="Q246" s="161">
        <f>ROUND(E246*P246,2)</f>
        <v>0</v>
      </c>
      <c r="R246" s="161" t="s">
        <v>150</v>
      </c>
      <c r="S246" s="161" t="s">
        <v>161</v>
      </c>
      <c r="T246" s="161" t="s">
        <v>161</v>
      </c>
      <c r="U246" s="138"/>
      <c r="V246" s="138"/>
      <c r="W246" s="138"/>
      <c r="X246" s="138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</row>
    <row r="247" spans="1:60" outlineLevel="1" x14ac:dyDescent="0.2">
      <c r="A247" s="183"/>
      <c r="B247" s="165"/>
      <c r="C247" s="211" t="s">
        <v>459</v>
      </c>
      <c r="D247" s="212"/>
      <c r="E247" s="213">
        <f>6519.8*0.3*2</f>
        <v>3911.88</v>
      </c>
      <c r="F247" s="209"/>
      <c r="G247" s="209"/>
      <c r="H247" s="190"/>
      <c r="I247" s="138"/>
      <c r="J247" s="190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</row>
    <row r="248" spans="1:60" outlineLevel="1" x14ac:dyDescent="0.2">
      <c r="A248" s="183"/>
      <c r="B248" s="165"/>
      <c r="C248" s="322"/>
      <c r="D248" s="323"/>
      <c r="E248" s="323"/>
      <c r="F248" s="323"/>
      <c r="G248" s="323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</row>
    <row r="249" spans="1:60" outlineLevel="1" x14ac:dyDescent="0.2">
      <c r="A249" s="184">
        <f>A246+1</f>
        <v>79</v>
      </c>
      <c r="B249" s="185" t="s">
        <v>319</v>
      </c>
      <c r="C249" s="189" t="s">
        <v>315</v>
      </c>
      <c r="D249" s="186" t="s">
        <v>106</v>
      </c>
      <c r="E249" s="187">
        <f>E250</f>
        <v>1191.124</v>
      </c>
      <c r="F249" s="188"/>
      <c r="G249" s="161">
        <f>ROUND(E249*F249,2)</f>
        <v>0</v>
      </c>
      <c r="H249" s="188">
        <v>0</v>
      </c>
      <c r="I249" s="161">
        <f>ROUND(E249*H249,2)</f>
        <v>0</v>
      </c>
      <c r="J249" s="188">
        <v>300</v>
      </c>
      <c r="K249" s="161">
        <f>ROUND(E249*J249,2)</f>
        <v>357337.2</v>
      </c>
      <c r="L249" s="161">
        <v>21</v>
      </c>
      <c r="M249" s="161">
        <f>G249*(1+L249/100)</f>
        <v>0</v>
      </c>
      <c r="N249" s="161">
        <v>0</v>
      </c>
      <c r="O249" s="161">
        <f>ROUND(E249*N249,2)</f>
        <v>0</v>
      </c>
      <c r="P249" s="161">
        <v>0</v>
      </c>
      <c r="Q249" s="161">
        <f>ROUND(E249*P249,2)</f>
        <v>0</v>
      </c>
      <c r="R249" s="161" t="s">
        <v>150</v>
      </c>
      <c r="S249" s="161" t="s">
        <v>161</v>
      </c>
      <c r="T249" s="161" t="s">
        <v>161</v>
      </c>
      <c r="U249" s="138"/>
      <c r="V249" s="138"/>
      <c r="W249" s="138"/>
      <c r="X249" s="138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</row>
    <row r="250" spans="1:60" outlineLevel="1" x14ac:dyDescent="0.2">
      <c r="A250" s="183"/>
      <c r="B250" s="165"/>
      <c r="C250" s="211" t="s">
        <v>458</v>
      </c>
      <c r="D250" s="212"/>
      <c r="E250" s="213">
        <f>4708*0.1*2.53</f>
        <v>1191.124</v>
      </c>
      <c r="F250" s="209"/>
      <c r="G250" s="209"/>
      <c r="H250" s="190"/>
      <c r="I250" s="138"/>
      <c r="J250" s="190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</row>
    <row r="251" spans="1:60" outlineLevel="1" x14ac:dyDescent="0.2">
      <c r="A251" s="183"/>
      <c r="B251" s="165"/>
      <c r="C251" s="195"/>
      <c r="D251" s="196"/>
      <c r="E251" s="196"/>
      <c r="F251" s="196"/>
      <c r="G251" s="196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</row>
    <row r="252" spans="1:60" outlineLevel="1" x14ac:dyDescent="0.2">
      <c r="A252" s="140" t="s">
        <v>88</v>
      </c>
      <c r="B252" s="141" t="s">
        <v>60</v>
      </c>
      <c r="C252" s="147" t="s">
        <v>26</v>
      </c>
      <c r="D252" s="142"/>
      <c r="E252" s="143"/>
      <c r="F252" s="144"/>
      <c r="G252" s="144">
        <f>G253+G256+G259+G262</f>
        <v>0</v>
      </c>
      <c r="H252" s="144"/>
      <c r="I252" s="144">
        <f>SUM(I256:I258)</f>
        <v>0</v>
      </c>
      <c r="J252" s="144"/>
      <c r="K252" s="144">
        <f>SUM(K256:K258)</f>
        <v>0</v>
      </c>
      <c r="L252" s="144"/>
      <c r="M252" s="144">
        <f>M253+M256+M259+M262</f>
        <v>0</v>
      </c>
      <c r="N252" s="144"/>
      <c r="O252" s="144">
        <f>SUM(O256:O258)</f>
        <v>0</v>
      </c>
      <c r="P252" s="144"/>
      <c r="Q252" s="144">
        <f>SUM(Q256:Q258)</f>
        <v>0</v>
      </c>
      <c r="R252" s="144"/>
      <c r="S252" s="144"/>
      <c r="T252" s="145"/>
      <c r="U252" s="138"/>
      <c r="V252" s="138"/>
      <c r="W252" s="138"/>
      <c r="X252" s="138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</row>
    <row r="253" spans="1:60" outlineLevel="1" x14ac:dyDescent="0.2">
      <c r="A253" s="184">
        <f>A249+1</f>
        <v>80</v>
      </c>
      <c r="B253" s="185" t="s">
        <v>115</v>
      </c>
      <c r="C253" s="189" t="s">
        <v>151</v>
      </c>
      <c r="D253" s="186" t="s">
        <v>94</v>
      </c>
      <c r="E253" s="187">
        <v>1</v>
      </c>
      <c r="F253" s="188"/>
      <c r="G253" s="161">
        <f>ROUND(E253*F253,2)</f>
        <v>0</v>
      </c>
      <c r="H253" s="188">
        <v>0</v>
      </c>
      <c r="I253" s="161">
        <f>ROUND(E253*H253,2)</f>
        <v>0</v>
      </c>
      <c r="J253" s="188">
        <v>0</v>
      </c>
      <c r="K253" s="161">
        <f>ROUND(E253*J253,2)</f>
        <v>0</v>
      </c>
      <c r="L253" s="161">
        <v>21</v>
      </c>
      <c r="M253" s="161">
        <f>G253*(1+L253/100)</f>
        <v>0</v>
      </c>
      <c r="N253" s="161">
        <v>0</v>
      </c>
      <c r="O253" s="161">
        <f>ROUND(E253*N253,2)</f>
        <v>0</v>
      </c>
      <c r="P253" s="161">
        <v>0</v>
      </c>
      <c r="Q253" s="161">
        <f>ROUND(E253*P253,2)</f>
        <v>0</v>
      </c>
      <c r="R253" s="161"/>
      <c r="S253" s="161" t="s">
        <v>161</v>
      </c>
      <c r="T253" s="162" t="s">
        <v>95</v>
      </c>
      <c r="U253" s="138"/>
      <c r="V253" s="138"/>
      <c r="W253" s="138"/>
      <c r="X253" s="138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</row>
    <row r="254" spans="1:60" outlineLevel="1" x14ac:dyDescent="0.2">
      <c r="A254" s="183"/>
      <c r="B254" s="165"/>
      <c r="C254" s="327" t="s">
        <v>332</v>
      </c>
      <c r="D254" s="328"/>
      <c r="E254" s="328"/>
      <c r="F254" s="328"/>
      <c r="G254" s="32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</row>
    <row r="255" spans="1:60" outlineLevel="1" x14ac:dyDescent="0.2">
      <c r="A255" s="183"/>
      <c r="B255" s="165"/>
      <c r="C255" s="322"/>
      <c r="D255" s="323"/>
      <c r="E255" s="323"/>
      <c r="F255" s="323"/>
      <c r="G255" s="323"/>
      <c r="H255" s="138"/>
      <c r="I255" s="138"/>
      <c r="J255" s="138"/>
      <c r="K255" s="138"/>
      <c r="L255" s="138"/>
      <c r="M255" s="138"/>
      <c r="N255" s="138"/>
      <c r="O255" s="138"/>
      <c r="P255" s="138"/>
      <c r="Q255" s="138"/>
      <c r="R255" s="138"/>
      <c r="S255" s="138"/>
      <c r="T255" s="138"/>
      <c r="U255" s="138"/>
      <c r="V255" s="138"/>
      <c r="W255" s="138"/>
      <c r="X255" s="138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</row>
    <row r="256" spans="1:60" outlineLevel="1" x14ac:dyDescent="0.2">
      <c r="A256" s="184">
        <f>A253+1</f>
        <v>81</v>
      </c>
      <c r="B256" s="185" t="s">
        <v>152</v>
      </c>
      <c r="C256" s="189" t="s">
        <v>153</v>
      </c>
      <c r="D256" s="186" t="s">
        <v>94</v>
      </c>
      <c r="E256" s="187">
        <v>1</v>
      </c>
      <c r="F256" s="188"/>
      <c r="G256" s="161">
        <f>ROUND(E256*F256,2)</f>
        <v>0</v>
      </c>
      <c r="H256" s="188">
        <v>0</v>
      </c>
      <c r="I256" s="161">
        <f>ROUND(E256*H256,2)</f>
        <v>0</v>
      </c>
      <c r="J256" s="188">
        <v>0</v>
      </c>
      <c r="K256" s="161">
        <f>ROUND(E256*J256,2)</f>
        <v>0</v>
      </c>
      <c r="L256" s="161">
        <v>21</v>
      </c>
      <c r="M256" s="161">
        <f>G256*(1+L256/100)</f>
        <v>0</v>
      </c>
      <c r="N256" s="161">
        <v>0</v>
      </c>
      <c r="O256" s="161">
        <f>ROUND(E256*N256,2)</f>
        <v>0</v>
      </c>
      <c r="P256" s="161">
        <v>0</v>
      </c>
      <c r="Q256" s="161">
        <f>ROUND(E256*P256,2)</f>
        <v>0</v>
      </c>
      <c r="R256" s="161"/>
      <c r="S256" s="161" t="s">
        <v>161</v>
      </c>
      <c r="T256" s="162" t="s">
        <v>95</v>
      </c>
      <c r="U256" s="138"/>
      <c r="V256" s="138"/>
      <c r="W256" s="138"/>
      <c r="X256" s="138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</row>
    <row r="257" spans="1:60" ht="22.9" customHeight="1" outlineLevel="1" x14ac:dyDescent="0.2">
      <c r="A257" s="183"/>
      <c r="B257" s="165"/>
      <c r="C257" s="327" t="s">
        <v>154</v>
      </c>
      <c r="D257" s="328"/>
      <c r="E257" s="328"/>
      <c r="F257" s="328"/>
      <c r="G257" s="328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</row>
    <row r="258" spans="1:60" outlineLevel="1" x14ac:dyDescent="0.2">
      <c r="A258" s="183"/>
      <c r="B258" s="165"/>
      <c r="C258" s="322"/>
      <c r="D258" s="323"/>
      <c r="E258" s="323"/>
      <c r="F258" s="323"/>
      <c r="G258" s="323"/>
      <c r="H258" s="138"/>
      <c r="I258" s="138"/>
      <c r="J258" s="138"/>
      <c r="K258" s="138"/>
      <c r="L258" s="138"/>
      <c r="M258" s="138"/>
      <c r="N258" s="138"/>
      <c r="O258" s="138"/>
      <c r="P258" s="138"/>
      <c r="Q258" s="138"/>
      <c r="R258" s="138"/>
      <c r="S258" s="138"/>
      <c r="T258" s="138"/>
      <c r="U258" s="138"/>
      <c r="V258" s="138"/>
      <c r="W258" s="138"/>
      <c r="X258" s="138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</row>
    <row r="259" spans="1:60" outlineLevel="1" x14ac:dyDescent="0.2">
      <c r="A259" s="184">
        <f>A256+1</f>
        <v>82</v>
      </c>
      <c r="B259" s="185" t="s">
        <v>114</v>
      </c>
      <c r="C259" s="189" t="s">
        <v>93</v>
      </c>
      <c r="D259" s="186" t="s">
        <v>94</v>
      </c>
      <c r="E259" s="187">
        <v>1</v>
      </c>
      <c r="F259" s="188"/>
      <c r="G259" s="161">
        <f>ROUND(E259*F259,2)</f>
        <v>0</v>
      </c>
      <c r="H259" s="188">
        <v>0</v>
      </c>
      <c r="I259" s="161">
        <f>ROUND(E259*H259,2)</f>
        <v>0</v>
      </c>
      <c r="J259" s="188">
        <v>0</v>
      </c>
      <c r="K259" s="161">
        <f>ROUND(E259*J259,2)</f>
        <v>0</v>
      </c>
      <c r="L259" s="161">
        <v>21</v>
      </c>
      <c r="M259" s="161">
        <f>G259*(1+L259/100)</f>
        <v>0</v>
      </c>
      <c r="N259" s="161">
        <v>0</v>
      </c>
      <c r="O259" s="161">
        <f>ROUND(E259*N259,2)</f>
        <v>0</v>
      </c>
      <c r="P259" s="161">
        <v>0</v>
      </c>
      <c r="Q259" s="161">
        <f>ROUND(E259*P259,2)</f>
        <v>0</v>
      </c>
      <c r="R259" s="161"/>
      <c r="S259" s="161" t="s">
        <v>161</v>
      </c>
      <c r="T259" s="162" t="s">
        <v>95</v>
      </c>
      <c r="U259" s="138"/>
      <c r="V259" s="138"/>
      <c r="W259" s="138"/>
      <c r="X259" s="138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</row>
    <row r="260" spans="1:60" outlineLevel="1" x14ac:dyDescent="0.2">
      <c r="A260" s="183"/>
      <c r="B260" s="165"/>
      <c r="C260" s="327" t="s">
        <v>333</v>
      </c>
      <c r="D260" s="328"/>
      <c r="E260" s="328"/>
      <c r="F260" s="328"/>
      <c r="G260" s="328"/>
      <c r="H260" s="190"/>
      <c r="I260" s="138"/>
      <c r="J260" s="190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5"/>
      <c r="Z260" s="135"/>
      <c r="AA260" s="135"/>
      <c r="AB260" s="135"/>
      <c r="AC260" s="135"/>
      <c r="AD260" s="135"/>
      <c r="AE260" s="135"/>
      <c r="AF260" s="135"/>
      <c r="AG260" s="135"/>
      <c r="AH260" s="135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AZ260" s="135"/>
      <c r="BA260" s="135"/>
      <c r="BB260" s="135"/>
      <c r="BC260" s="135"/>
      <c r="BD260" s="135"/>
      <c r="BE260" s="135"/>
      <c r="BF260" s="135"/>
      <c r="BG260" s="135"/>
      <c r="BH260" s="135"/>
    </row>
    <row r="261" spans="1:60" outlineLevel="1" x14ac:dyDescent="0.2">
      <c r="A261" s="183"/>
      <c r="B261" s="165"/>
      <c r="C261" s="322"/>
      <c r="D261" s="323"/>
      <c r="E261" s="323"/>
      <c r="F261" s="323"/>
      <c r="G261" s="323"/>
      <c r="H261" s="138"/>
      <c r="I261" s="138"/>
      <c r="J261" s="138"/>
      <c r="K261" s="138"/>
      <c r="L261" s="138"/>
      <c r="M261" s="138"/>
      <c r="N261" s="138"/>
      <c r="O261" s="138"/>
      <c r="P261" s="138"/>
      <c r="Q261" s="138"/>
      <c r="R261" s="138"/>
      <c r="S261" s="138"/>
      <c r="T261" s="138"/>
      <c r="U261" s="138"/>
      <c r="V261" s="138"/>
      <c r="W261" s="138"/>
      <c r="X261" s="138"/>
      <c r="Y261" s="135"/>
      <c r="Z261" s="135"/>
      <c r="AA261" s="135"/>
      <c r="AB261" s="135"/>
      <c r="AC261" s="135"/>
      <c r="AD261" s="135"/>
      <c r="AE261" s="135"/>
      <c r="AF261" s="135"/>
      <c r="AG261" s="135"/>
      <c r="AH261" s="135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135"/>
      <c r="BA261" s="135"/>
      <c r="BB261" s="135"/>
      <c r="BC261" s="135"/>
      <c r="BD261" s="135"/>
      <c r="BE261" s="135"/>
      <c r="BF261" s="135"/>
      <c r="BG261" s="135"/>
      <c r="BH261" s="135"/>
    </row>
    <row r="262" spans="1:60" outlineLevel="1" x14ac:dyDescent="0.2">
      <c r="A262" s="184">
        <f>A259+1</f>
        <v>83</v>
      </c>
      <c r="B262" s="185" t="s">
        <v>96</v>
      </c>
      <c r="C262" s="189" t="s">
        <v>97</v>
      </c>
      <c r="D262" s="186" t="s">
        <v>94</v>
      </c>
      <c r="E262" s="187">
        <v>1</v>
      </c>
      <c r="F262" s="188"/>
      <c r="G262" s="161">
        <f>ROUND(E262*F262,2)</f>
        <v>0</v>
      </c>
      <c r="H262" s="188">
        <v>0</v>
      </c>
      <c r="I262" s="161">
        <f>ROUND(E262*H262,2)</f>
        <v>0</v>
      </c>
      <c r="J262" s="188">
        <v>0</v>
      </c>
      <c r="K262" s="161">
        <f>ROUND(E262*J262,2)</f>
        <v>0</v>
      </c>
      <c r="L262" s="161">
        <v>21</v>
      </c>
      <c r="M262" s="161">
        <f>G262*(1+L262/100)</f>
        <v>0</v>
      </c>
      <c r="N262" s="161">
        <v>0</v>
      </c>
      <c r="O262" s="161">
        <f>ROUND(E262*N262,2)</f>
        <v>0</v>
      </c>
      <c r="P262" s="161">
        <v>0</v>
      </c>
      <c r="Q262" s="161">
        <f>ROUND(E262*P262,2)</f>
        <v>0</v>
      </c>
      <c r="R262" s="161"/>
      <c r="S262" s="161" t="s">
        <v>161</v>
      </c>
      <c r="T262" s="162" t="s">
        <v>95</v>
      </c>
      <c r="U262" s="138"/>
      <c r="V262" s="138"/>
      <c r="W262" s="138"/>
      <c r="X262" s="138"/>
      <c r="Y262" s="135"/>
      <c r="Z262" s="135"/>
      <c r="AA262" s="135"/>
      <c r="AB262" s="135"/>
      <c r="AC262" s="135"/>
      <c r="AD262" s="135"/>
      <c r="AE262" s="135"/>
      <c r="AF262" s="135"/>
      <c r="AG262" s="135"/>
      <c r="AH262" s="135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135"/>
      <c r="BA262" s="135"/>
      <c r="BB262" s="135"/>
      <c r="BC262" s="135"/>
      <c r="BD262" s="135"/>
      <c r="BE262" s="135"/>
      <c r="BF262" s="135"/>
      <c r="BG262" s="135"/>
      <c r="BH262" s="135"/>
    </row>
    <row r="263" spans="1:60" ht="24" customHeight="1" outlineLevel="1" x14ac:dyDescent="0.2">
      <c r="A263" s="183"/>
      <c r="B263" s="165"/>
      <c r="C263" s="327" t="s">
        <v>155</v>
      </c>
      <c r="D263" s="328"/>
      <c r="E263" s="328"/>
      <c r="F263" s="328"/>
      <c r="G263" s="328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5"/>
      <c r="Z263" s="135"/>
      <c r="AA263" s="135"/>
      <c r="AB263" s="135"/>
      <c r="AC263" s="135"/>
      <c r="AD263" s="135"/>
      <c r="AE263" s="135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135"/>
      <c r="BA263" s="135"/>
      <c r="BB263" s="135"/>
      <c r="BC263" s="135"/>
      <c r="BD263" s="135"/>
      <c r="BE263" s="135"/>
      <c r="BF263" s="135"/>
      <c r="BG263" s="135"/>
      <c r="BH263" s="135"/>
    </row>
    <row r="264" spans="1:60" outlineLevel="1" x14ac:dyDescent="0.2">
      <c r="A264" s="183"/>
      <c r="B264" s="165"/>
      <c r="C264" s="195"/>
      <c r="D264" s="196"/>
      <c r="E264" s="196"/>
      <c r="F264" s="196"/>
      <c r="G264" s="196"/>
      <c r="H264" s="138"/>
      <c r="I264" s="138"/>
      <c r="J264" s="138"/>
      <c r="K264" s="138"/>
      <c r="L264" s="138"/>
      <c r="M264" s="138"/>
      <c r="N264" s="138"/>
      <c r="O264" s="138"/>
      <c r="P264" s="138"/>
      <c r="Q264" s="138"/>
      <c r="R264" s="138"/>
      <c r="S264" s="138"/>
      <c r="T264" s="138"/>
      <c r="U264" s="138"/>
      <c r="V264" s="138"/>
      <c r="W264" s="138"/>
      <c r="X264" s="138"/>
      <c r="Y264" s="135"/>
      <c r="Z264" s="135"/>
      <c r="AA264" s="135"/>
      <c r="AB264" s="135"/>
      <c r="AC264" s="135"/>
      <c r="AD264" s="135"/>
      <c r="AE264" s="135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</row>
    <row r="265" spans="1:60" ht="13.15" customHeight="1" outlineLevel="1" x14ac:dyDescent="0.2">
      <c r="A265" s="140" t="s">
        <v>88</v>
      </c>
      <c r="B265" s="141" t="s">
        <v>61</v>
      </c>
      <c r="C265" s="147" t="s">
        <v>27</v>
      </c>
      <c r="D265" s="142"/>
      <c r="E265" s="143"/>
      <c r="F265" s="144"/>
      <c r="G265" s="144">
        <f>SUMIF(AG266:AG277,"&lt;&gt;NOR",G266:G277)</f>
        <v>0</v>
      </c>
      <c r="H265" s="144"/>
      <c r="I265" s="144">
        <f>SUM(I266:I277)</f>
        <v>0</v>
      </c>
      <c r="J265" s="144"/>
      <c r="K265" s="144">
        <f>SUM(K266:K277)</f>
        <v>0</v>
      </c>
      <c r="L265" s="144"/>
      <c r="M265" s="144">
        <f>SUM(M266:M277)</f>
        <v>0</v>
      </c>
      <c r="N265" s="144"/>
      <c r="O265" s="144">
        <f>SUM(O266:O277)</f>
        <v>0</v>
      </c>
      <c r="P265" s="144"/>
      <c r="Q265" s="144">
        <f>SUM(Q266:Q277)</f>
        <v>0</v>
      </c>
      <c r="R265" s="144"/>
      <c r="S265" s="144"/>
      <c r="T265" s="145"/>
      <c r="U265" s="138"/>
      <c r="V265" s="138"/>
      <c r="W265" s="138"/>
      <c r="X265" s="138"/>
      <c r="Y265" s="135"/>
      <c r="Z265" s="135"/>
      <c r="AA265" s="135"/>
      <c r="AB265" s="135"/>
      <c r="AC265" s="135"/>
      <c r="AD265" s="135"/>
      <c r="AE265" s="135"/>
      <c r="AF265" s="135"/>
      <c r="AG265" s="135"/>
      <c r="AH265" s="135"/>
      <c r="AI265" s="135"/>
      <c r="AJ265" s="135"/>
      <c r="AK265" s="135"/>
      <c r="AL265" s="135"/>
      <c r="AM265" s="135"/>
      <c r="AN265" s="135"/>
      <c r="AO265" s="135"/>
      <c r="AP265" s="135"/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</row>
    <row r="266" spans="1:60" outlineLevel="1" x14ac:dyDescent="0.2">
      <c r="A266" s="184">
        <f>A262+1</f>
        <v>84</v>
      </c>
      <c r="B266" s="185" t="s">
        <v>108</v>
      </c>
      <c r="C266" s="189" t="s">
        <v>109</v>
      </c>
      <c r="D266" s="186" t="s">
        <v>94</v>
      </c>
      <c r="E266" s="187">
        <v>1</v>
      </c>
      <c r="F266" s="188"/>
      <c r="G266" s="161">
        <f>ROUND(E266*F266,2)</f>
        <v>0</v>
      </c>
      <c r="H266" s="188">
        <v>0</v>
      </c>
      <c r="I266" s="161">
        <f>ROUND(E266*H266,2)</f>
        <v>0</v>
      </c>
      <c r="J266" s="188">
        <v>0</v>
      </c>
      <c r="K266" s="161">
        <f>ROUND(E266*J266,2)</f>
        <v>0</v>
      </c>
      <c r="L266" s="161">
        <v>21</v>
      </c>
      <c r="M266" s="161">
        <f>G266*(1+L266/100)</f>
        <v>0</v>
      </c>
      <c r="N266" s="161">
        <v>0</v>
      </c>
      <c r="O266" s="161">
        <f>ROUND(E266*N266,2)</f>
        <v>0</v>
      </c>
      <c r="P266" s="161">
        <v>0</v>
      </c>
      <c r="Q266" s="161">
        <f>ROUND(E266*P266,2)</f>
        <v>0</v>
      </c>
      <c r="R266" s="161"/>
      <c r="S266" s="161" t="s">
        <v>161</v>
      </c>
      <c r="T266" s="162" t="s">
        <v>95</v>
      </c>
      <c r="U266" s="138"/>
      <c r="V266" s="138"/>
      <c r="W266" s="138"/>
      <c r="X266" s="138"/>
      <c r="Y266" s="135"/>
      <c r="Z266" s="135"/>
      <c r="AA266" s="135"/>
      <c r="AB266" s="135"/>
      <c r="AC266" s="135"/>
      <c r="AD266" s="135"/>
      <c r="AE266" s="135"/>
      <c r="AF266" s="135"/>
      <c r="AG266" s="135"/>
      <c r="AH266" s="135"/>
      <c r="AI266" s="135"/>
      <c r="AJ266" s="135"/>
      <c r="AK266" s="135"/>
      <c r="AL266" s="135"/>
      <c r="AM266" s="135"/>
      <c r="AN266" s="135"/>
      <c r="AO266" s="135"/>
      <c r="AP266" s="135"/>
      <c r="AQ266" s="135"/>
      <c r="AR266" s="135"/>
      <c r="AS266" s="135"/>
      <c r="AT266" s="135"/>
      <c r="AU266" s="135"/>
      <c r="AV266" s="135"/>
      <c r="AW266" s="135"/>
      <c r="AX266" s="135"/>
      <c r="AY266" s="135"/>
      <c r="AZ266" s="135"/>
      <c r="BA266" s="135"/>
      <c r="BB266" s="135"/>
      <c r="BC266" s="135"/>
      <c r="BD266" s="135"/>
      <c r="BE266" s="135"/>
      <c r="BF266" s="135"/>
      <c r="BG266" s="135"/>
      <c r="BH266" s="135"/>
    </row>
    <row r="267" spans="1:60" ht="35.25" customHeight="1" outlineLevel="1" x14ac:dyDescent="0.2">
      <c r="A267" s="183"/>
      <c r="B267" s="165"/>
      <c r="C267" s="327" t="s">
        <v>156</v>
      </c>
      <c r="D267" s="328"/>
      <c r="E267" s="328"/>
      <c r="F267" s="328"/>
      <c r="G267" s="328"/>
      <c r="H267" s="138"/>
      <c r="I267" s="138"/>
      <c r="J267" s="138"/>
      <c r="K267" s="138"/>
      <c r="L267" s="138"/>
      <c r="M267" s="138"/>
      <c r="N267" s="138"/>
      <c r="O267" s="138"/>
      <c r="P267" s="138"/>
      <c r="Q267" s="138"/>
      <c r="R267" s="138"/>
      <c r="S267" s="138"/>
      <c r="T267" s="138"/>
      <c r="U267" s="138"/>
      <c r="V267" s="138"/>
      <c r="W267" s="138"/>
      <c r="X267" s="138"/>
      <c r="Y267" s="135"/>
      <c r="Z267" s="135"/>
      <c r="AA267" s="135"/>
      <c r="AB267" s="135"/>
      <c r="AC267" s="135"/>
      <c r="AD267" s="135"/>
      <c r="AE267" s="135"/>
      <c r="AF267" s="135"/>
      <c r="AG267" s="135"/>
      <c r="AH267" s="135"/>
      <c r="AI267" s="135"/>
      <c r="AJ267" s="135"/>
      <c r="AK267" s="135"/>
      <c r="AL267" s="135"/>
      <c r="AM267" s="135"/>
      <c r="AN267" s="135"/>
      <c r="AO267" s="135"/>
      <c r="AP267" s="135"/>
      <c r="AQ267" s="135"/>
      <c r="AR267" s="135"/>
      <c r="AS267" s="135"/>
      <c r="AT267" s="135"/>
      <c r="AU267" s="135"/>
      <c r="AV267" s="135"/>
      <c r="AW267" s="135"/>
      <c r="AX267" s="135"/>
      <c r="AY267" s="135"/>
      <c r="AZ267" s="135"/>
      <c r="BA267" s="135"/>
      <c r="BB267" s="135"/>
      <c r="BC267" s="135"/>
      <c r="BD267" s="135"/>
      <c r="BE267" s="135"/>
      <c r="BF267" s="135"/>
      <c r="BG267" s="135"/>
      <c r="BH267" s="135"/>
    </row>
    <row r="268" spans="1:60" outlineLevel="1" x14ac:dyDescent="0.2">
      <c r="A268" s="183"/>
      <c r="B268" s="165"/>
      <c r="C268" s="322"/>
      <c r="D268" s="323"/>
      <c r="E268" s="323"/>
      <c r="F268" s="323"/>
      <c r="G268" s="323"/>
      <c r="H268" s="138"/>
      <c r="I268" s="138"/>
      <c r="J268" s="138"/>
      <c r="K268" s="138"/>
      <c r="L268" s="138"/>
      <c r="M268" s="138"/>
      <c r="N268" s="138"/>
      <c r="O268" s="138"/>
      <c r="P268" s="138"/>
      <c r="Q268" s="138"/>
      <c r="R268" s="138"/>
      <c r="S268" s="138"/>
      <c r="T268" s="138"/>
      <c r="U268" s="138"/>
      <c r="V268" s="138"/>
      <c r="W268" s="138"/>
      <c r="X268" s="138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</row>
    <row r="269" spans="1:60" outlineLevel="1" x14ac:dyDescent="0.2">
      <c r="A269" s="184">
        <f>A266+1</f>
        <v>85</v>
      </c>
      <c r="B269" s="185" t="s">
        <v>110</v>
      </c>
      <c r="C269" s="189" t="s">
        <v>336</v>
      </c>
      <c r="D269" s="186" t="s">
        <v>94</v>
      </c>
      <c r="E269" s="187">
        <v>1</v>
      </c>
      <c r="F269" s="188"/>
      <c r="G269" s="161">
        <f>ROUND(E269*F269,2)</f>
        <v>0</v>
      </c>
      <c r="H269" s="188">
        <v>0</v>
      </c>
      <c r="I269" s="161">
        <f>ROUND(E269*H269,2)</f>
        <v>0</v>
      </c>
      <c r="J269" s="188">
        <v>0</v>
      </c>
      <c r="K269" s="161">
        <f>ROUND(E269*J269,2)</f>
        <v>0</v>
      </c>
      <c r="L269" s="161">
        <v>21</v>
      </c>
      <c r="M269" s="161">
        <f>G269*(1+L269/100)</f>
        <v>0</v>
      </c>
      <c r="N269" s="161">
        <v>0</v>
      </c>
      <c r="O269" s="161">
        <f>ROUND(E269*N269,2)</f>
        <v>0</v>
      </c>
      <c r="P269" s="161">
        <v>0</v>
      </c>
      <c r="Q269" s="161">
        <f>ROUND(E269*P269,2)</f>
        <v>0</v>
      </c>
      <c r="R269" s="161"/>
      <c r="S269" s="161" t="s">
        <v>161</v>
      </c>
      <c r="T269" s="162" t="s">
        <v>95</v>
      </c>
      <c r="U269" s="138"/>
      <c r="V269" s="138"/>
      <c r="W269" s="138"/>
      <c r="X269" s="138"/>
      <c r="Y269" s="135"/>
      <c r="Z269" s="135"/>
      <c r="AA269" s="135"/>
      <c r="AB269" s="135"/>
      <c r="AC269" s="135"/>
      <c r="AD269" s="135"/>
      <c r="AE269" s="135"/>
      <c r="AF269" s="135"/>
      <c r="AG269" s="135"/>
      <c r="AH269" s="135"/>
      <c r="AI269" s="135"/>
      <c r="AJ269" s="135"/>
      <c r="AK269" s="135"/>
      <c r="AL269" s="135"/>
      <c r="AM269" s="135"/>
      <c r="AN269" s="135"/>
      <c r="AO269" s="135"/>
      <c r="AP269" s="135"/>
      <c r="AQ269" s="135"/>
      <c r="AR269" s="135"/>
      <c r="AS269" s="135"/>
      <c r="AT269" s="135"/>
      <c r="AU269" s="135"/>
      <c r="AV269" s="135"/>
      <c r="AW269" s="135"/>
      <c r="AX269" s="135"/>
      <c r="AY269" s="135"/>
      <c r="AZ269" s="135"/>
      <c r="BA269" s="135"/>
      <c r="BB269" s="135"/>
      <c r="BC269" s="135"/>
      <c r="BD269" s="135"/>
      <c r="BE269" s="135"/>
      <c r="BF269" s="135"/>
      <c r="BG269" s="135"/>
      <c r="BH269" s="135"/>
    </row>
    <row r="270" spans="1:60" ht="34.5" customHeight="1" outlineLevel="1" x14ac:dyDescent="0.2">
      <c r="A270" s="183"/>
      <c r="B270" s="165"/>
      <c r="C270" s="327" t="s">
        <v>337</v>
      </c>
      <c r="D270" s="328"/>
      <c r="E270" s="328"/>
      <c r="F270" s="328"/>
      <c r="G270" s="328"/>
      <c r="H270" s="138"/>
      <c r="I270" s="138"/>
      <c r="J270" s="138"/>
      <c r="K270" s="138"/>
      <c r="L270" s="138"/>
      <c r="M270" s="138"/>
      <c r="N270" s="138"/>
      <c r="O270" s="138"/>
      <c r="P270" s="138"/>
      <c r="Q270" s="138"/>
      <c r="R270" s="138"/>
      <c r="S270" s="138"/>
      <c r="T270" s="138"/>
      <c r="U270" s="138"/>
      <c r="V270" s="138"/>
      <c r="W270" s="138"/>
      <c r="X270" s="138"/>
      <c r="Y270" s="135"/>
      <c r="Z270" s="135"/>
      <c r="AA270" s="135"/>
      <c r="AB270" s="135"/>
      <c r="AC270" s="135"/>
      <c r="AD270" s="135"/>
      <c r="AE270" s="135"/>
      <c r="AF270" s="135"/>
      <c r="AG270" s="135"/>
      <c r="AH270" s="135"/>
      <c r="AI270" s="135"/>
      <c r="AJ270" s="135"/>
      <c r="AK270" s="135"/>
      <c r="AL270" s="135"/>
      <c r="AM270" s="135"/>
      <c r="AN270" s="135"/>
      <c r="AO270" s="135"/>
      <c r="AP270" s="135"/>
      <c r="AQ270" s="135"/>
      <c r="AR270" s="135"/>
      <c r="AS270" s="135"/>
      <c r="AT270" s="135"/>
      <c r="AU270" s="135"/>
      <c r="AV270" s="135"/>
      <c r="AW270" s="135"/>
      <c r="AX270" s="135"/>
      <c r="AY270" s="135"/>
      <c r="AZ270" s="135"/>
      <c r="BA270" s="135"/>
      <c r="BB270" s="135"/>
      <c r="BC270" s="135"/>
      <c r="BD270" s="135"/>
      <c r="BE270" s="135"/>
      <c r="BF270" s="135"/>
      <c r="BG270" s="135"/>
      <c r="BH270" s="135"/>
    </row>
    <row r="271" spans="1:60" outlineLevel="1" x14ac:dyDescent="0.2">
      <c r="A271" s="183"/>
      <c r="B271" s="165"/>
      <c r="C271" s="195"/>
      <c r="D271" s="196"/>
      <c r="E271" s="196"/>
      <c r="F271" s="196"/>
      <c r="G271" s="196"/>
      <c r="H271" s="138"/>
      <c r="I271" s="138"/>
      <c r="J271" s="138"/>
      <c r="K271" s="138"/>
      <c r="L271" s="138"/>
      <c r="M271" s="138"/>
      <c r="N271" s="138"/>
      <c r="O271" s="138"/>
      <c r="P271" s="138"/>
      <c r="Q271" s="138"/>
      <c r="R271" s="138"/>
      <c r="S271" s="138"/>
      <c r="T271" s="138"/>
      <c r="U271" s="138"/>
      <c r="V271" s="138"/>
      <c r="W271" s="138"/>
      <c r="X271" s="138"/>
      <c r="Y271" s="135"/>
      <c r="Z271" s="135"/>
      <c r="AA271" s="135"/>
      <c r="AB271" s="135"/>
      <c r="AC271" s="135"/>
      <c r="AD271" s="135"/>
      <c r="AE271" s="135"/>
      <c r="AF271" s="135"/>
      <c r="AG271" s="135"/>
      <c r="AH271" s="135"/>
      <c r="AI271" s="135"/>
      <c r="AJ271" s="135"/>
      <c r="AK271" s="135"/>
      <c r="AL271" s="135"/>
      <c r="AM271" s="135"/>
      <c r="AN271" s="135"/>
      <c r="AO271" s="135"/>
      <c r="AP271" s="135"/>
      <c r="AQ271" s="135"/>
      <c r="AR271" s="135"/>
      <c r="AS271" s="135"/>
      <c r="AT271" s="135"/>
      <c r="AU271" s="135"/>
      <c r="AV271" s="135"/>
      <c r="AW271" s="135"/>
      <c r="AX271" s="135"/>
      <c r="AY271" s="135"/>
      <c r="AZ271" s="135"/>
      <c r="BA271" s="135"/>
      <c r="BB271" s="135"/>
      <c r="BC271" s="135"/>
      <c r="BD271" s="135"/>
      <c r="BE271" s="135"/>
      <c r="BF271" s="135"/>
      <c r="BG271" s="135"/>
      <c r="BH271" s="135"/>
    </row>
    <row r="272" spans="1:60" outlineLevel="1" x14ac:dyDescent="0.2">
      <c r="A272" s="184">
        <f>A269+1</f>
        <v>86</v>
      </c>
      <c r="B272" s="185" t="s">
        <v>110</v>
      </c>
      <c r="C272" s="189" t="s">
        <v>335</v>
      </c>
      <c r="D272" s="186" t="s">
        <v>94</v>
      </c>
      <c r="E272" s="187">
        <v>1</v>
      </c>
      <c r="F272" s="188"/>
      <c r="G272" s="161">
        <f>ROUND(E272*F272,2)</f>
        <v>0</v>
      </c>
      <c r="H272" s="188">
        <v>0</v>
      </c>
      <c r="I272" s="161">
        <f>ROUND(E272*H272,2)</f>
        <v>0</v>
      </c>
      <c r="J272" s="188">
        <v>0</v>
      </c>
      <c r="K272" s="161">
        <f>ROUND(E272*J272,2)</f>
        <v>0</v>
      </c>
      <c r="L272" s="161">
        <v>21</v>
      </c>
      <c r="M272" s="161">
        <f>G272*(1+L272/100)</f>
        <v>0</v>
      </c>
      <c r="N272" s="161">
        <v>0</v>
      </c>
      <c r="O272" s="161">
        <f>ROUND(E272*N272,2)</f>
        <v>0</v>
      </c>
      <c r="P272" s="161">
        <v>0</v>
      </c>
      <c r="Q272" s="161">
        <f>ROUND(E272*P272,2)</f>
        <v>0</v>
      </c>
      <c r="R272" s="161"/>
      <c r="S272" s="161" t="s">
        <v>161</v>
      </c>
      <c r="T272" s="162" t="s">
        <v>95</v>
      </c>
      <c r="U272" s="138"/>
      <c r="V272" s="138"/>
      <c r="W272" s="138"/>
      <c r="X272" s="138"/>
      <c r="Y272" s="135"/>
      <c r="Z272" s="135"/>
      <c r="AA272" s="135"/>
      <c r="AB272" s="135"/>
      <c r="AC272" s="135"/>
      <c r="AD272" s="135"/>
      <c r="AE272" s="135"/>
      <c r="AF272" s="135"/>
      <c r="AG272" s="135"/>
      <c r="AH272" s="135"/>
      <c r="AI272" s="135"/>
      <c r="AJ272" s="135"/>
      <c r="AK272" s="135"/>
      <c r="AL272" s="135"/>
      <c r="AM272" s="135"/>
      <c r="AN272" s="135"/>
      <c r="AO272" s="135"/>
      <c r="AP272" s="135"/>
      <c r="AQ272" s="135"/>
      <c r="AR272" s="135"/>
      <c r="AS272" s="135"/>
      <c r="AT272" s="135"/>
      <c r="AU272" s="135"/>
      <c r="AV272" s="135"/>
      <c r="AW272" s="135"/>
      <c r="AX272" s="135"/>
      <c r="AY272" s="135"/>
      <c r="AZ272" s="135"/>
      <c r="BA272" s="135"/>
      <c r="BB272" s="135"/>
      <c r="BC272" s="135"/>
      <c r="BD272" s="135"/>
      <c r="BE272" s="135"/>
      <c r="BF272" s="135"/>
      <c r="BG272" s="135"/>
      <c r="BH272" s="135"/>
    </row>
    <row r="273" spans="1:60" ht="12.75" customHeight="1" outlineLevel="1" x14ac:dyDescent="0.2">
      <c r="A273" s="183"/>
      <c r="B273" s="165"/>
      <c r="C273" s="327" t="s">
        <v>334</v>
      </c>
      <c r="D273" s="328"/>
      <c r="E273" s="328"/>
      <c r="F273" s="328"/>
      <c r="G273" s="328"/>
      <c r="H273" s="138"/>
      <c r="I273" s="138"/>
      <c r="J273" s="138"/>
      <c r="K273" s="138"/>
      <c r="L273" s="138"/>
      <c r="M273" s="138"/>
      <c r="N273" s="138"/>
      <c r="O273" s="138"/>
      <c r="P273" s="138"/>
      <c r="Q273" s="138"/>
      <c r="R273" s="138"/>
      <c r="S273" s="138"/>
      <c r="T273" s="138"/>
      <c r="U273" s="138"/>
      <c r="V273" s="138"/>
      <c r="W273" s="138"/>
      <c r="X273" s="138"/>
      <c r="Y273" s="135"/>
      <c r="Z273" s="135"/>
      <c r="AA273" s="135"/>
      <c r="AB273" s="135"/>
      <c r="AC273" s="135"/>
      <c r="AD273" s="135"/>
      <c r="AE273" s="135"/>
      <c r="AF273" s="135"/>
      <c r="AG273" s="135"/>
      <c r="AH273" s="135"/>
      <c r="AI273" s="135"/>
      <c r="AJ273" s="135"/>
      <c r="AK273" s="135"/>
      <c r="AL273" s="135"/>
      <c r="AM273" s="135"/>
      <c r="AN273" s="135"/>
      <c r="AO273" s="135"/>
      <c r="AP273" s="135"/>
      <c r="AQ273" s="135"/>
      <c r="AR273" s="135"/>
      <c r="AS273" s="135"/>
      <c r="AT273" s="135"/>
      <c r="AU273" s="135"/>
      <c r="AV273" s="135"/>
      <c r="AW273" s="135"/>
      <c r="AX273" s="135"/>
      <c r="AY273" s="135"/>
      <c r="AZ273" s="135"/>
      <c r="BA273" s="135"/>
      <c r="BB273" s="135"/>
      <c r="BC273" s="135"/>
      <c r="BD273" s="135"/>
      <c r="BE273" s="135"/>
      <c r="BF273" s="135"/>
      <c r="BG273" s="135"/>
      <c r="BH273" s="135"/>
    </row>
    <row r="274" spans="1:60" outlineLevel="1" x14ac:dyDescent="0.2">
      <c r="A274" s="183"/>
      <c r="B274" s="165"/>
      <c r="C274" s="322"/>
      <c r="D274" s="323"/>
      <c r="E274" s="323"/>
      <c r="F274" s="323"/>
      <c r="G274" s="323"/>
      <c r="H274" s="138"/>
      <c r="I274" s="138"/>
      <c r="J274" s="138"/>
      <c r="K274" s="138"/>
      <c r="L274" s="138"/>
      <c r="M274" s="138"/>
      <c r="N274" s="138"/>
      <c r="O274" s="138"/>
      <c r="P274" s="138"/>
      <c r="Q274" s="138"/>
      <c r="R274" s="138"/>
      <c r="S274" s="138"/>
      <c r="T274" s="138"/>
      <c r="U274" s="138"/>
      <c r="V274" s="138"/>
      <c r="W274" s="138"/>
      <c r="X274" s="138"/>
      <c r="Y274" s="135"/>
      <c r="Z274" s="135"/>
      <c r="AA274" s="135"/>
      <c r="AB274" s="135"/>
      <c r="AC274" s="135"/>
      <c r="AD274" s="135"/>
      <c r="AE274" s="135"/>
      <c r="AF274" s="135"/>
      <c r="AG274" s="135"/>
      <c r="AH274" s="135"/>
      <c r="AI274" s="135"/>
      <c r="AJ274" s="135"/>
      <c r="AK274" s="135"/>
      <c r="AL274" s="135"/>
      <c r="AM274" s="135"/>
      <c r="AN274" s="135"/>
      <c r="AO274" s="135"/>
      <c r="AP274" s="135"/>
      <c r="AQ274" s="135"/>
      <c r="AR274" s="135"/>
      <c r="AS274" s="135"/>
      <c r="AT274" s="135"/>
      <c r="AU274" s="135"/>
      <c r="AV274" s="135"/>
      <c r="AW274" s="135"/>
      <c r="AX274" s="135"/>
      <c r="AY274" s="135"/>
      <c r="AZ274" s="135"/>
      <c r="BA274" s="135"/>
      <c r="BB274" s="135"/>
      <c r="BC274" s="135"/>
      <c r="BD274" s="135"/>
      <c r="BE274" s="135"/>
      <c r="BF274" s="135"/>
      <c r="BG274" s="135"/>
      <c r="BH274" s="135"/>
    </row>
    <row r="275" spans="1:60" outlineLevel="1" x14ac:dyDescent="0.2">
      <c r="A275" s="184">
        <f>A272+1</f>
        <v>87</v>
      </c>
      <c r="B275" s="185" t="s">
        <v>111</v>
      </c>
      <c r="C275" s="189" t="s">
        <v>112</v>
      </c>
      <c r="D275" s="186" t="s">
        <v>94</v>
      </c>
      <c r="E275" s="187">
        <v>1</v>
      </c>
      <c r="F275" s="188"/>
      <c r="G275" s="161">
        <f>ROUND(E275*F275,2)</f>
        <v>0</v>
      </c>
      <c r="H275" s="188">
        <v>0</v>
      </c>
      <c r="I275" s="161">
        <f>ROUND(E275*H275,2)</f>
        <v>0</v>
      </c>
      <c r="J275" s="188">
        <v>0</v>
      </c>
      <c r="K275" s="161">
        <f>ROUND(E275*J275,2)</f>
        <v>0</v>
      </c>
      <c r="L275" s="161">
        <v>21</v>
      </c>
      <c r="M275" s="161">
        <f>G275*(1+L275/100)</f>
        <v>0</v>
      </c>
      <c r="N275" s="161">
        <v>0</v>
      </c>
      <c r="O275" s="161">
        <f>ROUND(E275*N275,2)</f>
        <v>0</v>
      </c>
      <c r="P275" s="161">
        <v>0</v>
      </c>
      <c r="Q275" s="161">
        <f>ROUND(E275*P275,2)</f>
        <v>0</v>
      </c>
      <c r="R275" s="161"/>
      <c r="S275" s="161" t="s">
        <v>161</v>
      </c>
      <c r="T275" s="162" t="s">
        <v>95</v>
      </c>
      <c r="U275" s="138"/>
      <c r="V275" s="138"/>
      <c r="W275" s="138"/>
      <c r="X275" s="138"/>
      <c r="Y275" s="135"/>
      <c r="Z275" s="135"/>
      <c r="AA275" s="135"/>
      <c r="AB275" s="135"/>
      <c r="AC275" s="135"/>
      <c r="AD275" s="135"/>
      <c r="AE275" s="135"/>
      <c r="AF275" s="135"/>
      <c r="AG275" s="135"/>
      <c r="AH275" s="135"/>
      <c r="AI275" s="135"/>
      <c r="AJ275" s="135"/>
      <c r="AK275" s="135"/>
      <c r="AL275" s="135"/>
      <c r="AM275" s="135"/>
      <c r="AN275" s="135"/>
      <c r="AO275" s="135"/>
      <c r="AP275" s="135"/>
      <c r="AQ275" s="135"/>
      <c r="AR275" s="135"/>
      <c r="AS275" s="135"/>
      <c r="AT275" s="135"/>
      <c r="AU275" s="135"/>
      <c r="AV275" s="135"/>
      <c r="AW275" s="135"/>
      <c r="AX275" s="135"/>
      <c r="AY275" s="135"/>
      <c r="AZ275" s="135"/>
      <c r="BA275" s="135"/>
      <c r="BB275" s="135"/>
      <c r="BC275" s="135"/>
      <c r="BD275" s="135"/>
      <c r="BE275" s="135"/>
      <c r="BF275" s="135"/>
      <c r="BG275" s="135"/>
      <c r="BH275" s="135"/>
    </row>
    <row r="276" spans="1:60" ht="23.25" customHeight="1" outlineLevel="1" x14ac:dyDescent="0.2">
      <c r="A276" s="183"/>
      <c r="B276" s="165"/>
      <c r="C276" s="327" t="s">
        <v>157</v>
      </c>
      <c r="D276" s="328"/>
      <c r="E276" s="328"/>
      <c r="F276" s="328"/>
      <c r="G276" s="328"/>
      <c r="H276" s="138"/>
      <c r="I276" s="138"/>
      <c r="J276" s="138"/>
      <c r="K276" s="138"/>
      <c r="L276" s="138"/>
      <c r="M276" s="138"/>
      <c r="N276" s="138"/>
      <c r="O276" s="138"/>
      <c r="P276" s="138"/>
      <c r="Q276" s="138"/>
      <c r="R276" s="138"/>
      <c r="S276" s="138"/>
      <c r="T276" s="138"/>
      <c r="U276" s="138"/>
      <c r="V276" s="138"/>
      <c r="W276" s="138"/>
      <c r="X276" s="138"/>
      <c r="Y276" s="135"/>
      <c r="Z276" s="135"/>
      <c r="AA276" s="135"/>
      <c r="AB276" s="135"/>
      <c r="AC276" s="135"/>
      <c r="AD276" s="135"/>
      <c r="AE276" s="135"/>
      <c r="AF276" s="135"/>
      <c r="AG276" s="135"/>
      <c r="AH276" s="135"/>
      <c r="AI276" s="135"/>
      <c r="AJ276" s="135"/>
      <c r="AK276" s="135"/>
      <c r="AL276" s="135"/>
      <c r="AM276" s="135"/>
      <c r="AN276" s="135"/>
      <c r="AO276" s="135"/>
      <c r="AP276" s="135"/>
      <c r="AQ276" s="135"/>
      <c r="AR276" s="135"/>
      <c r="AS276" s="135"/>
      <c r="AT276" s="135"/>
      <c r="AU276" s="135"/>
      <c r="AV276" s="135"/>
      <c r="AW276" s="135"/>
      <c r="AX276" s="135"/>
      <c r="AY276" s="135"/>
      <c r="AZ276" s="135"/>
      <c r="BA276" s="135"/>
      <c r="BB276" s="135"/>
      <c r="BC276" s="135"/>
      <c r="BD276" s="135"/>
      <c r="BE276" s="135"/>
      <c r="BF276" s="135"/>
      <c r="BG276" s="135"/>
      <c r="BH276" s="135"/>
    </row>
    <row r="277" spans="1:60" outlineLevel="1" x14ac:dyDescent="0.2">
      <c r="A277" s="183"/>
      <c r="B277" s="165"/>
      <c r="C277" s="322"/>
      <c r="D277" s="323"/>
      <c r="E277" s="323"/>
      <c r="F277" s="323"/>
      <c r="G277" s="323"/>
      <c r="H277" s="138"/>
      <c r="I277" s="138"/>
      <c r="J277" s="138"/>
      <c r="K277" s="138"/>
      <c r="L277" s="138"/>
      <c r="M277" s="138"/>
      <c r="N277" s="138"/>
      <c r="O277" s="138"/>
      <c r="P277" s="138"/>
      <c r="Q277" s="138"/>
      <c r="R277" s="138"/>
      <c r="S277" s="138"/>
      <c r="T277" s="138"/>
      <c r="U277" s="138"/>
      <c r="V277" s="138"/>
      <c r="W277" s="138"/>
      <c r="X277" s="138"/>
      <c r="Y277" s="135"/>
      <c r="Z277" s="135"/>
      <c r="AA277" s="135"/>
      <c r="AB277" s="135"/>
      <c r="AC277" s="135"/>
      <c r="AD277" s="135"/>
      <c r="AE277" s="135"/>
      <c r="AF277" s="135"/>
      <c r="AG277" s="135"/>
      <c r="AH277" s="135"/>
      <c r="AI277" s="135"/>
      <c r="AJ277" s="135"/>
      <c r="AK277" s="135"/>
      <c r="AL277" s="135"/>
      <c r="AM277" s="135"/>
      <c r="AN277" s="135"/>
      <c r="AO277" s="135"/>
      <c r="AP277" s="135"/>
      <c r="AQ277" s="135"/>
      <c r="AR277" s="135"/>
      <c r="AS277" s="135"/>
      <c r="AT277" s="135"/>
      <c r="AU277" s="135"/>
      <c r="AV277" s="135"/>
      <c r="AW277" s="135"/>
      <c r="AX277" s="135"/>
      <c r="AY277" s="135"/>
      <c r="AZ277" s="135"/>
      <c r="BA277" s="135"/>
      <c r="BB277" s="135"/>
      <c r="BC277" s="135"/>
      <c r="BD277" s="135"/>
      <c r="BE277" s="135"/>
      <c r="BF277" s="135"/>
      <c r="BG277" s="135"/>
      <c r="BH277" s="135"/>
    </row>
    <row r="278" spans="1:60" outlineLevel="1" x14ac:dyDescent="0.2">
      <c r="A278" s="3"/>
      <c r="B278" s="4"/>
      <c r="C278" s="148"/>
      <c r="D278" s="6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138"/>
      <c r="V278" s="138"/>
      <c r="W278" s="138"/>
      <c r="X278" s="138"/>
      <c r="Y278" s="135"/>
      <c r="Z278" s="135"/>
      <c r="AA278" s="135"/>
      <c r="AB278" s="135"/>
      <c r="AC278" s="135"/>
      <c r="AD278" s="135"/>
      <c r="AE278" s="135"/>
      <c r="AF278" s="135"/>
      <c r="AG278" s="135"/>
      <c r="AH278" s="135"/>
      <c r="AI278" s="135"/>
      <c r="AJ278" s="135"/>
      <c r="AK278" s="135"/>
      <c r="AL278" s="135"/>
      <c r="AM278" s="135"/>
      <c r="AN278" s="135"/>
      <c r="AO278" s="135"/>
      <c r="AP278" s="135"/>
      <c r="AQ278" s="135"/>
      <c r="AR278" s="135"/>
      <c r="AS278" s="135"/>
      <c r="AT278" s="135"/>
      <c r="AU278" s="135"/>
      <c r="AV278" s="135"/>
      <c r="AW278" s="135"/>
      <c r="AX278" s="135"/>
      <c r="AY278" s="135"/>
      <c r="AZ278" s="135"/>
      <c r="BA278" s="135"/>
      <c r="BB278" s="135"/>
      <c r="BC278" s="135"/>
      <c r="BD278" s="135"/>
      <c r="BE278" s="135"/>
      <c r="BF278" s="135"/>
      <c r="BG278" s="135"/>
      <c r="BH278" s="135"/>
    </row>
    <row r="279" spans="1:60" outlineLevel="1" x14ac:dyDescent="0.2">
      <c r="A279" s="202"/>
      <c r="B279" s="203" t="s">
        <v>28</v>
      </c>
      <c r="C279" s="204"/>
      <c r="D279" s="205"/>
      <c r="E279" s="206"/>
      <c r="F279" s="206"/>
      <c r="G279" s="146">
        <f>G8+G77+G134+G207+G215+G223+G236+G252+G265</f>
        <v>0</v>
      </c>
      <c r="H279" s="3"/>
      <c r="I279" s="3"/>
      <c r="J279" s="3"/>
      <c r="K279" s="3"/>
      <c r="L279" s="137"/>
      <c r="M279" s="3"/>
      <c r="N279" s="3"/>
      <c r="O279" s="3"/>
      <c r="P279" s="3"/>
      <c r="Q279" s="3"/>
      <c r="R279" s="3"/>
      <c r="S279" s="3"/>
      <c r="T279" s="3"/>
      <c r="U279" s="138"/>
      <c r="V279" s="138"/>
      <c r="W279" s="138"/>
      <c r="X279" s="138"/>
      <c r="Y279" s="135"/>
      <c r="Z279" s="135"/>
      <c r="AA279" s="135"/>
      <c r="AB279" s="135"/>
      <c r="AC279" s="135"/>
      <c r="AD279" s="135"/>
      <c r="AE279" s="135"/>
      <c r="AF279" s="135"/>
      <c r="AG279" s="135"/>
      <c r="AH279" s="135"/>
      <c r="AI279" s="135"/>
      <c r="AJ279" s="135"/>
      <c r="AK279" s="135"/>
      <c r="AL279" s="135"/>
      <c r="AM279" s="135"/>
      <c r="AN279" s="135"/>
      <c r="AO279" s="135"/>
      <c r="AP279" s="135"/>
      <c r="AQ279" s="135"/>
      <c r="AR279" s="135"/>
      <c r="AS279" s="135"/>
      <c r="AT279" s="135"/>
      <c r="AU279" s="135"/>
      <c r="AV279" s="135"/>
      <c r="AW279" s="135"/>
      <c r="AX279" s="135"/>
      <c r="AY279" s="135"/>
      <c r="AZ279" s="135"/>
      <c r="BA279" s="135"/>
      <c r="BB279" s="135"/>
      <c r="BC279" s="135"/>
      <c r="BD279" s="135"/>
      <c r="BE279" s="135"/>
      <c r="BF279" s="135"/>
      <c r="BG279" s="135"/>
      <c r="BH279" s="135"/>
    </row>
    <row r="280" spans="1:60" ht="13.15" customHeight="1" x14ac:dyDescent="0.2">
      <c r="C280" s="149"/>
      <c r="D280" s="10"/>
      <c r="AG280" t="s">
        <v>113</v>
      </c>
    </row>
    <row r="281" spans="1:60" x14ac:dyDescent="0.2">
      <c r="D281" s="10"/>
    </row>
    <row r="282" spans="1:60" x14ac:dyDescent="0.2">
      <c r="D282" s="10"/>
    </row>
    <row r="283" spans="1:60" ht="13.15" customHeight="1" x14ac:dyDescent="0.2">
      <c r="D283" s="10"/>
    </row>
    <row r="284" spans="1:60" x14ac:dyDescent="0.2">
      <c r="D284" s="10"/>
    </row>
    <row r="285" spans="1:60" x14ac:dyDescent="0.2">
      <c r="D285" s="10"/>
    </row>
    <row r="286" spans="1:60" x14ac:dyDescent="0.2">
      <c r="D286" s="10"/>
    </row>
    <row r="287" spans="1:60" x14ac:dyDescent="0.2">
      <c r="D287" s="10"/>
    </row>
    <row r="288" spans="1:60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ht="13.15" customHeight="1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ht="13.15" customHeight="1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ht="13.15" customHeight="1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ht="13.15" customHeight="1" x14ac:dyDescent="0.2">
      <c r="D316" s="10"/>
    </row>
    <row r="317" spans="4:4" x14ac:dyDescent="0.2">
      <c r="D317" s="10"/>
    </row>
    <row r="318" spans="4:4" x14ac:dyDescent="0.2">
      <c r="D318" s="10"/>
    </row>
    <row r="319" spans="4:4" ht="13.15" customHeight="1" x14ac:dyDescent="0.2">
      <c r="D319" s="10"/>
    </row>
    <row r="320" spans="4:4" x14ac:dyDescent="0.2">
      <c r="D320" s="10"/>
    </row>
    <row r="321" spans="4:4" x14ac:dyDescent="0.2">
      <c r="D321" s="10"/>
    </row>
    <row r="322" spans="4:4" ht="13.15" customHeight="1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  <row r="5011" spans="4:4" x14ac:dyDescent="0.2">
      <c r="D5011" s="10"/>
    </row>
    <row r="5012" spans="4:4" x14ac:dyDescent="0.2">
      <c r="D5012" s="10"/>
    </row>
    <row r="5013" spans="4:4" x14ac:dyDescent="0.2">
      <c r="D5013" s="10"/>
    </row>
    <row r="5014" spans="4:4" x14ac:dyDescent="0.2">
      <c r="D5014" s="10"/>
    </row>
    <row r="5015" spans="4:4" x14ac:dyDescent="0.2">
      <c r="D5015" s="10"/>
    </row>
    <row r="5016" spans="4:4" x14ac:dyDescent="0.2">
      <c r="D5016" s="10"/>
    </row>
    <row r="5017" spans="4:4" x14ac:dyDescent="0.2">
      <c r="D5017" s="10"/>
    </row>
    <row r="5018" spans="4:4" x14ac:dyDescent="0.2">
      <c r="D5018" s="10"/>
    </row>
    <row r="5019" spans="4:4" x14ac:dyDescent="0.2">
      <c r="D5019" s="10"/>
    </row>
    <row r="5020" spans="4:4" x14ac:dyDescent="0.2">
      <c r="D5020" s="10"/>
    </row>
    <row r="5021" spans="4:4" x14ac:dyDescent="0.2">
      <c r="D5021" s="10"/>
    </row>
    <row r="5022" spans="4:4" x14ac:dyDescent="0.2">
      <c r="D5022" s="10"/>
    </row>
    <row r="5023" spans="4:4" x14ac:dyDescent="0.2">
      <c r="D5023" s="10"/>
    </row>
    <row r="5024" spans="4:4" x14ac:dyDescent="0.2">
      <c r="D5024" s="10"/>
    </row>
    <row r="5025" spans="4:4" x14ac:dyDescent="0.2">
      <c r="D5025" s="10"/>
    </row>
    <row r="5026" spans="4:4" x14ac:dyDescent="0.2">
      <c r="D5026" s="10"/>
    </row>
    <row r="5027" spans="4:4" x14ac:dyDescent="0.2">
      <c r="D5027" s="10"/>
    </row>
    <row r="5028" spans="4:4" x14ac:dyDescent="0.2">
      <c r="D5028" s="10"/>
    </row>
    <row r="5029" spans="4:4" x14ac:dyDescent="0.2">
      <c r="D5029" s="10"/>
    </row>
    <row r="5030" spans="4:4" x14ac:dyDescent="0.2">
      <c r="D5030" s="10"/>
    </row>
    <row r="5031" spans="4:4" x14ac:dyDescent="0.2">
      <c r="D5031" s="10"/>
    </row>
    <row r="5032" spans="4:4" x14ac:dyDescent="0.2">
      <c r="D5032" s="10"/>
    </row>
    <row r="5033" spans="4:4" x14ac:dyDescent="0.2">
      <c r="D5033" s="10"/>
    </row>
    <row r="5034" spans="4:4" x14ac:dyDescent="0.2">
      <c r="D5034" s="10"/>
    </row>
    <row r="5035" spans="4:4" x14ac:dyDescent="0.2">
      <c r="D5035" s="10"/>
    </row>
    <row r="5036" spans="4:4" x14ac:dyDescent="0.2">
      <c r="D5036" s="10"/>
    </row>
    <row r="5037" spans="4:4" x14ac:dyDescent="0.2">
      <c r="D5037" s="10"/>
    </row>
    <row r="5038" spans="4:4" x14ac:dyDescent="0.2">
      <c r="D5038" s="10"/>
    </row>
    <row r="5039" spans="4:4" x14ac:dyDescent="0.2">
      <c r="D5039" s="10"/>
    </row>
    <row r="5040" spans="4:4" x14ac:dyDescent="0.2">
      <c r="D5040" s="10"/>
    </row>
    <row r="5041" spans="4:4" x14ac:dyDescent="0.2">
      <c r="D5041" s="10"/>
    </row>
    <row r="5042" spans="4:4" x14ac:dyDescent="0.2">
      <c r="D5042" s="10"/>
    </row>
    <row r="5043" spans="4:4" x14ac:dyDescent="0.2">
      <c r="D5043" s="10"/>
    </row>
    <row r="5044" spans="4:4" x14ac:dyDescent="0.2">
      <c r="D5044" s="10"/>
    </row>
    <row r="5045" spans="4:4" x14ac:dyDescent="0.2">
      <c r="D5045" s="10"/>
    </row>
    <row r="5046" spans="4:4" x14ac:dyDescent="0.2">
      <c r="D5046" s="10"/>
    </row>
    <row r="5047" spans="4:4" x14ac:dyDescent="0.2">
      <c r="D5047" s="10"/>
    </row>
    <row r="5048" spans="4:4" x14ac:dyDescent="0.2">
      <c r="D5048" s="10"/>
    </row>
    <row r="5049" spans="4:4" x14ac:dyDescent="0.2">
      <c r="D5049" s="10"/>
    </row>
    <row r="5050" spans="4:4" x14ac:dyDescent="0.2">
      <c r="D5050" s="10"/>
    </row>
    <row r="5051" spans="4:4" x14ac:dyDescent="0.2">
      <c r="D5051" s="10"/>
    </row>
    <row r="5052" spans="4:4" x14ac:dyDescent="0.2">
      <c r="D5052" s="10"/>
    </row>
    <row r="5053" spans="4:4" x14ac:dyDescent="0.2">
      <c r="D5053" s="10"/>
    </row>
    <row r="5054" spans="4:4" x14ac:dyDescent="0.2">
      <c r="D5054" s="10"/>
    </row>
    <row r="5055" spans="4:4" x14ac:dyDescent="0.2">
      <c r="D5055" s="10"/>
    </row>
    <row r="5056" spans="4:4" x14ac:dyDescent="0.2">
      <c r="D5056" s="10"/>
    </row>
    <row r="5057" spans="4:4" x14ac:dyDescent="0.2">
      <c r="D5057" s="10"/>
    </row>
    <row r="5058" spans="4:4" x14ac:dyDescent="0.2">
      <c r="D5058" s="10"/>
    </row>
    <row r="5059" spans="4:4" x14ac:dyDescent="0.2">
      <c r="D5059" s="10"/>
    </row>
    <row r="5060" spans="4:4" x14ac:dyDescent="0.2">
      <c r="D5060" s="10"/>
    </row>
    <row r="5061" spans="4:4" x14ac:dyDescent="0.2">
      <c r="D5061" s="10"/>
    </row>
    <row r="5062" spans="4:4" x14ac:dyDescent="0.2">
      <c r="D5062" s="10"/>
    </row>
    <row r="5063" spans="4:4" x14ac:dyDescent="0.2">
      <c r="D5063" s="10"/>
    </row>
    <row r="5064" spans="4:4" x14ac:dyDescent="0.2">
      <c r="D5064" s="10"/>
    </row>
    <row r="5065" spans="4:4" x14ac:dyDescent="0.2">
      <c r="D5065" s="10"/>
    </row>
    <row r="5066" spans="4:4" x14ac:dyDescent="0.2">
      <c r="D5066" s="10"/>
    </row>
    <row r="5067" spans="4:4" x14ac:dyDescent="0.2">
      <c r="D5067" s="10"/>
    </row>
    <row r="5068" spans="4:4" x14ac:dyDescent="0.2">
      <c r="D5068" s="10"/>
    </row>
    <row r="5069" spans="4:4" x14ac:dyDescent="0.2">
      <c r="D5069" s="10"/>
    </row>
    <row r="5070" spans="4:4" x14ac:dyDescent="0.2">
      <c r="D5070" s="10"/>
    </row>
    <row r="5071" spans="4:4" x14ac:dyDescent="0.2">
      <c r="D5071" s="10"/>
    </row>
    <row r="5072" spans="4:4" x14ac:dyDescent="0.2">
      <c r="D5072" s="10"/>
    </row>
    <row r="5073" spans="4:4" x14ac:dyDescent="0.2">
      <c r="D5073" s="10"/>
    </row>
    <row r="5074" spans="4:4" x14ac:dyDescent="0.2">
      <c r="D5074" s="10"/>
    </row>
    <row r="5075" spans="4:4" x14ac:dyDescent="0.2">
      <c r="D5075" s="10"/>
    </row>
    <row r="5076" spans="4:4" x14ac:dyDescent="0.2">
      <c r="D5076" s="10"/>
    </row>
    <row r="5077" spans="4:4" x14ac:dyDescent="0.2">
      <c r="D5077" s="10"/>
    </row>
    <row r="5078" spans="4:4" x14ac:dyDescent="0.2">
      <c r="D5078" s="10"/>
    </row>
    <row r="5079" spans="4:4" x14ac:dyDescent="0.2">
      <c r="D5079" s="10"/>
    </row>
    <row r="5080" spans="4:4" x14ac:dyDescent="0.2">
      <c r="D5080" s="10"/>
    </row>
    <row r="5081" spans="4:4" x14ac:dyDescent="0.2">
      <c r="D5081" s="10"/>
    </row>
    <row r="5082" spans="4:4" x14ac:dyDescent="0.2">
      <c r="D5082" s="10"/>
    </row>
    <row r="5083" spans="4:4" x14ac:dyDescent="0.2">
      <c r="D5083" s="10"/>
    </row>
    <row r="5084" spans="4:4" x14ac:dyDescent="0.2">
      <c r="D5084" s="10"/>
    </row>
    <row r="5085" spans="4:4" x14ac:dyDescent="0.2">
      <c r="D5085" s="10"/>
    </row>
    <row r="5086" spans="4:4" x14ac:dyDescent="0.2">
      <c r="D5086" s="10"/>
    </row>
    <row r="5087" spans="4:4" x14ac:dyDescent="0.2">
      <c r="D5087" s="10"/>
    </row>
    <row r="5088" spans="4:4" x14ac:dyDescent="0.2">
      <c r="D5088" s="10"/>
    </row>
    <row r="5089" spans="4:4" x14ac:dyDescent="0.2">
      <c r="D5089" s="10"/>
    </row>
    <row r="5090" spans="4:4" x14ac:dyDescent="0.2">
      <c r="D5090" s="10"/>
    </row>
    <row r="5091" spans="4:4" x14ac:dyDescent="0.2">
      <c r="D5091" s="10"/>
    </row>
    <row r="5092" spans="4:4" x14ac:dyDescent="0.2">
      <c r="D5092" s="10"/>
    </row>
    <row r="5093" spans="4:4" x14ac:dyDescent="0.2">
      <c r="D5093" s="10"/>
    </row>
    <row r="5094" spans="4:4" x14ac:dyDescent="0.2">
      <c r="D5094" s="10"/>
    </row>
    <row r="5095" spans="4:4" x14ac:dyDescent="0.2">
      <c r="D5095" s="10"/>
    </row>
    <row r="5096" spans="4:4" x14ac:dyDescent="0.2">
      <c r="D5096" s="10"/>
    </row>
    <row r="5097" spans="4:4" x14ac:dyDescent="0.2">
      <c r="D5097" s="10"/>
    </row>
    <row r="5098" spans="4:4" x14ac:dyDescent="0.2">
      <c r="D5098" s="10"/>
    </row>
    <row r="5099" spans="4:4" x14ac:dyDescent="0.2">
      <c r="D5099" s="10"/>
    </row>
  </sheetData>
  <sheetProtection algorithmName="SHA-512" hashValue="XVBNpOxQaYrC51W0DdgIwultBLp04NhGPoid0IrgcoM43OeLct3hO2i3HykfS3CBu/7SUc8T8lGEmXnClVyieg==" saltValue="8xFIieoN7Mp9Qk97rpbnnw==" spinCount="100000" sheet="1" objects="1" scenarios="1"/>
  <mergeCells count="58">
    <mergeCell ref="C273:G273"/>
    <mergeCell ref="C274:G274"/>
    <mergeCell ref="C276:G276"/>
    <mergeCell ref="C277:G277"/>
    <mergeCell ref="C260:G260"/>
    <mergeCell ref="C261:G261"/>
    <mergeCell ref="C263:G263"/>
    <mergeCell ref="C267:G267"/>
    <mergeCell ref="C268:G268"/>
    <mergeCell ref="C270:G270"/>
    <mergeCell ref="C258:G258"/>
    <mergeCell ref="C209:G209"/>
    <mergeCell ref="C217:G217"/>
    <mergeCell ref="C218:G218"/>
    <mergeCell ref="C220:G220"/>
    <mergeCell ref="C227:G227"/>
    <mergeCell ref="C235:G235"/>
    <mergeCell ref="C239:G239"/>
    <mergeCell ref="C248:G248"/>
    <mergeCell ref="C254:G254"/>
    <mergeCell ref="C255:G255"/>
    <mergeCell ref="C257:G257"/>
    <mergeCell ref="C206:G206"/>
    <mergeCell ref="C69:D69"/>
    <mergeCell ref="C76:G76"/>
    <mergeCell ref="C103:G103"/>
    <mergeCell ref="C111:G111"/>
    <mergeCell ref="C119:G119"/>
    <mergeCell ref="C136:G136"/>
    <mergeCell ref="C177:G177"/>
    <mergeCell ref="C179:G179"/>
    <mergeCell ref="C191:G191"/>
    <mergeCell ref="C192:G192"/>
    <mergeCell ref="C204:G204"/>
    <mergeCell ref="C65:G65"/>
    <mergeCell ref="C34:G34"/>
    <mergeCell ref="C40:G40"/>
    <mergeCell ref="C41:D41"/>
    <mergeCell ref="C44:G44"/>
    <mergeCell ref="C48:D48"/>
    <mergeCell ref="C51:D51"/>
    <mergeCell ref="C54:G54"/>
    <mergeCell ref="C55:D55"/>
    <mergeCell ref="C58:D58"/>
    <mergeCell ref="C61:D61"/>
    <mergeCell ref="C64:G64"/>
    <mergeCell ref="C30:G30"/>
    <mergeCell ref="A1:G1"/>
    <mergeCell ref="C2:H2"/>
    <mergeCell ref="C3:G3"/>
    <mergeCell ref="C4:H4"/>
    <mergeCell ref="C10:G10"/>
    <mergeCell ref="C12:G12"/>
    <mergeCell ref="C14:G14"/>
    <mergeCell ref="C16:G16"/>
    <mergeCell ref="C18:G18"/>
    <mergeCell ref="C22:G22"/>
    <mergeCell ref="C26:G26"/>
  </mergeCells>
  <pageMargins left="0.59055118110236204" right="0.196850393700787" top="0.78740157499999996" bottom="0.78740157499999996" header="0.3" footer="0.3"/>
  <pageSetup paperSize="9" scale="88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B46C9-5BF3-49C2-9C3A-9573F7ED0B9A}">
  <sheetPr>
    <tabColor theme="3" tint="0.59999389629810485"/>
    <outlinePr summaryBelow="0"/>
    <pageSetUpPr fitToPage="1"/>
  </sheetPr>
  <dimension ref="A1:BH5088"/>
  <sheetViews>
    <sheetView workbookViewId="0">
      <pane ySplit="7" topLeftCell="A245" activePane="bottomLeft" state="frozen"/>
      <selection pane="bottomLeft" activeCell="M267" sqref="M267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2" max="12" width="11.7109375" bestFit="1" customWidth="1"/>
    <col min="13" max="13" width="11.7109375" customWidth="1"/>
    <col min="14" max="17" width="0" hidden="1" customWidth="1"/>
    <col min="18" max="18" width="6.85546875" customWidth="1"/>
    <col min="20" max="20" width="8.42578125" customWidth="1"/>
    <col min="21" max="24" width="0" hidden="1" customWidth="1"/>
    <col min="25" max="26" width="11.7109375" bestFit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311" t="s">
        <v>62</v>
      </c>
      <c r="B1" s="312"/>
      <c r="C1" s="312"/>
      <c r="D1" s="312"/>
      <c r="E1" s="312"/>
      <c r="F1" s="312"/>
      <c r="G1" s="312"/>
      <c r="H1" s="154"/>
      <c r="L1" s="158"/>
      <c r="AG1" t="s">
        <v>63</v>
      </c>
    </row>
    <row r="2" spans="1:60" ht="24" customHeight="1" x14ac:dyDescent="0.2">
      <c r="A2" s="155" t="s">
        <v>7</v>
      </c>
      <c r="B2" s="163" t="s">
        <v>338</v>
      </c>
      <c r="C2" s="313" t="s">
        <v>340</v>
      </c>
      <c r="D2" s="314"/>
      <c r="E2" s="314"/>
      <c r="F2" s="314"/>
      <c r="G2" s="314"/>
      <c r="H2" s="315"/>
      <c r="L2" s="158"/>
      <c r="AG2" t="s">
        <v>64</v>
      </c>
    </row>
    <row r="3" spans="1:60" ht="24" customHeight="1" x14ac:dyDescent="0.2">
      <c r="A3" s="155" t="s">
        <v>8</v>
      </c>
      <c r="B3" s="163" t="s">
        <v>354</v>
      </c>
      <c r="C3" s="316" t="s">
        <v>351</v>
      </c>
      <c r="D3" s="317"/>
      <c r="E3" s="317"/>
      <c r="F3" s="317"/>
      <c r="G3" s="318"/>
      <c r="H3" s="156"/>
      <c r="L3" s="158"/>
      <c r="AC3" s="120" t="s">
        <v>64</v>
      </c>
      <c r="AG3" t="s">
        <v>65</v>
      </c>
    </row>
    <row r="4" spans="1:60" ht="24" customHeight="1" x14ac:dyDescent="0.2">
      <c r="A4" s="157" t="s">
        <v>9</v>
      </c>
      <c r="B4" s="164" t="s">
        <v>338</v>
      </c>
      <c r="C4" s="319" t="s">
        <v>341</v>
      </c>
      <c r="D4" s="320"/>
      <c r="E4" s="320"/>
      <c r="F4" s="320"/>
      <c r="G4" s="320"/>
      <c r="H4" s="321"/>
      <c r="L4" s="158"/>
      <c r="AG4" t="s">
        <v>66</v>
      </c>
    </row>
    <row r="5" spans="1:60" x14ac:dyDescent="0.2">
      <c r="D5" s="10"/>
    </row>
    <row r="6" spans="1:60" ht="38.25" x14ac:dyDescent="0.2">
      <c r="A6" s="131" t="s">
        <v>67</v>
      </c>
      <c r="B6" s="133" t="s">
        <v>68</v>
      </c>
      <c r="C6" s="133" t="s">
        <v>69</v>
      </c>
      <c r="D6" s="132" t="s">
        <v>70</v>
      </c>
      <c r="E6" s="131" t="s">
        <v>71</v>
      </c>
      <c r="F6" s="130" t="s">
        <v>72</v>
      </c>
      <c r="G6" s="131" t="s">
        <v>28</v>
      </c>
      <c r="H6" s="134" t="s">
        <v>29</v>
      </c>
      <c r="I6" s="134" t="s">
        <v>73</v>
      </c>
      <c r="J6" s="134" t="s">
        <v>30</v>
      </c>
      <c r="K6" s="134" t="s">
        <v>74</v>
      </c>
      <c r="L6" s="134" t="s">
        <v>75</v>
      </c>
      <c r="M6" s="134" t="s">
        <v>76</v>
      </c>
      <c r="N6" s="134" t="s">
        <v>77</v>
      </c>
      <c r="O6" s="134" t="s">
        <v>78</v>
      </c>
      <c r="P6" s="134" t="s">
        <v>79</v>
      </c>
      <c r="Q6" s="134" t="s">
        <v>80</v>
      </c>
      <c r="R6" s="134" t="s">
        <v>81</v>
      </c>
      <c r="S6" s="134" t="s">
        <v>82</v>
      </c>
      <c r="T6" s="134" t="s">
        <v>83</v>
      </c>
      <c r="U6" s="134" t="s">
        <v>84</v>
      </c>
      <c r="V6" s="134" t="s">
        <v>85</v>
      </c>
      <c r="W6" s="134" t="s">
        <v>86</v>
      </c>
      <c r="X6" s="134" t="s">
        <v>87</v>
      </c>
    </row>
    <row r="7" spans="1:60" hidden="1" x14ac:dyDescent="0.2">
      <c r="A7" s="3"/>
      <c r="B7" s="4"/>
      <c r="C7" s="4"/>
      <c r="D7" s="6"/>
      <c r="E7" s="136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</row>
    <row r="8" spans="1:60" x14ac:dyDescent="0.2">
      <c r="A8" s="140" t="s">
        <v>88</v>
      </c>
      <c r="B8" s="141" t="s">
        <v>51</v>
      </c>
      <c r="C8" s="147" t="s">
        <v>52</v>
      </c>
      <c r="D8" s="142"/>
      <c r="E8" s="143"/>
      <c r="F8" s="144"/>
      <c r="G8" s="144">
        <f>SUMIF(AG9:AG74,"&lt;&gt;NOR",G9:G74)</f>
        <v>0</v>
      </c>
      <c r="H8" s="144"/>
      <c r="I8" s="144">
        <f>SUM(I9:I74)</f>
        <v>84</v>
      </c>
      <c r="J8" s="144"/>
      <c r="K8" s="144">
        <f>SUM(K9:K74)</f>
        <v>1781746.75</v>
      </c>
      <c r="L8" s="144"/>
      <c r="M8" s="144">
        <f>SUM(M9:M74)</f>
        <v>0</v>
      </c>
      <c r="N8" s="144"/>
      <c r="O8" s="144">
        <f>SUM(O9:O74)</f>
        <v>0</v>
      </c>
      <c r="P8" s="144"/>
      <c r="Q8" s="144">
        <f>SUM(Q9:Q74)</f>
        <v>761.93000000000018</v>
      </c>
      <c r="R8" s="144"/>
      <c r="S8" s="144"/>
      <c r="T8" s="145"/>
      <c r="U8" s="139"/>
      <c r="V8" s="139">
        <f>SUM(V9:V28)</f>
        <v>0</v>
      </c>
      <c r="W8" s="139"/>
      <c r="X8" s="139"/>
      <c r="Z8" s="81"/>
      <c r="AG8" t="s">
        <v>89</v>
      </c>
    </row>
    <row r="9" spans="1:60" outlineLevel="1" x14ac:dyDescent="0.2">
      <c r="A9" s="184">
        <v>1</v>
      </c>
      <c r="B9" s="185" t="s">
        <v>174</v>
      </c>
      <c r="C9" s="189" t="s">
        <v>173</v>
      </c>
      <c r="D9" s="186" t="s">
        <v>92</v>
      </c>
      <c r="E9" s="187">
        <f>E11</f>
        <v>77.5</v>
      </c>
      <c r="F9" s="188"/>
      <c r="G9" s="161">
        <f>ROUND(E9*F9,2)</f>
        <v>0</v>
      </c>
      <c r="H9" s="188">
        <v>0</v>
      </c>
      <c r="I9" s="161">
        <f>ROUND(E9*H9,2)</f>
        <v>0</v>
      </c>
      <c r="J9" s="188">
        <v>351</v>
      </c>
      <c r="K9" s="161">
        <f>ROUND(E9*J9,2)</f>
        <v>27202.5</v>
      </c>
      <c r="L9" s="161">
        <v>21</v>
      </c>
      <c r="M9" s="161">
        <f>G9*(1+L9/100)</f>
        <v>0</v>
      </c>
      <c r="N9" s="161">
        <v>0</v>
      </c>
      <c r="O9" s="161">
        <f>ROUND(E9*N9,2)</f>
        <v>0</v>
      </c>
      <c r="P9" s="161">
        <v>0.44</v>
      </c>
      <c r="Q9" s="161">
        <f>ROUND(E9*P9,2)</f>
        <v>34.1</v>
      </c>
      <c r="R9" s="161" t="s">
        <v>98</v>
      </c>
      <c r="S9" s="161" t="s">
        <v>161</v>
      </c>
      <c r="T9" s="161" t="s">
        <v>161</v>
      </c>
      <c r="U9" s="138"/>
      <c r="V9" s="138"/>
      <c r="W9" s="138"/>
      <c r="X9" s="138"/>
      <c r="Y9" s="135"/>
      <c r="Z9" s="135"/>
      <c r="AA9" s="135"/>
      <c r="AB9" s="135"/>
      <c r="AC9" s="135"/>
      <c r="AD9" s="135"/>
      <c r="AE9" s="135"/>
      <c r="AF9" s="135"/>
      <c r="AG9" s="135" t="s">
        <v>90</v>
      </c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</row>
    <row r="10" spans="1:60" outlineLevel="1" x14ac:dyDescent="0.2">
      <c r="A10" s="183"/>
      <c r="B10" s="165"/>
      <c r="C10" s="309" t="s">
        <v>169</v>
      </c>
      <c r="D10" s="310"/>
      <c r="E10" s="310"/>
      <c r="F10" s="310"/>
      <c r="G10" s="310"/>
      <c r="H10" s="190"/>
      <c r="I10" s="138"/>
      <c r="J10" s="190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</row>
    <row r="11" spans="1:60" ht="12.75" customHeight="1" outlineLevel="1" x14ac:dyDescent="0.2">
      <c r="A11" s="183"/>
      <c r="B11" s="165"/>
      <c r="C11" s="211" t="s">
        <v>360</v>
      </c>
      <c r="D11" s="212"/>
      <c r="E11" s="213">
        <f>4.5+1.5+7+50+14.5</f>
        <v>77.5</v>
      </c>
      <c r="F11" s="210"/>
      <c r="G11" s="210"/>
      <c r="H11" s="190"/>
      <c r="I11" s="138"/>
      <c r="J11" s="190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</row>
    <row r="12" spans="1:60" outlineLevel="1" x14ac:dyDescent="0.2">
      <c r="A12" s="183"/>
      <c r="B12" s="165"/>
      <c r="C12" s="322"/>
      <c r="D12" s="323"/>
      <c r="E12" s="323"/>
      <c r="F12" s="323"/>
      <c r="G12" s="323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</row>
    <row r="13" spans="1:60" ht="22.5" outlineLevel="1" x14ac:dyDescent="0.2">
      <c r="A13" s="184">
        <f>A9+1</f>
        <v>2</v>
      </c>
      <c r="B13" s="185" t="s">
        <v>163</v>
      </c>
      <c r="C13" s="189" t="s">
        <v>164</v>
      </c>
      <c r="D13" s="186" t="s">
        <v>92</v>
      </c>
      <c r="E13" s="187">
        <f>E15</f>
        <v>1376</v>
      </c>
      <c r="F13" s="188"/>
      <c r="G13" s="161">
        <f>ROUND(E13*F13,2)</f>
        <v>0</v>
      </c>
      <c r="H13" s="188">
        <v>0</v>
      </c>
      <c r="I13" s="161">
        <f>ROUND(E13*H13,2)</f>
        <v>0</v>
      </c>
      <c r="J13" s="188">
        <v>351</v>
      </c>
      <c r="K13" s="161">
        <f>ROUND(E13*J13,2)</f>
        <v>482976</v>
      </c>
      <c r="L13" s="161">
        <v>21</v>
      </c>
      <c r="M13" s="161">
        <f>G13*(1+L13/100)</f>
        <v>0</v>
      </c>
      <c r="N13" s="161">
        <v>0</v>
      </c>
      <c r="O13" s="161">
        <f>ROUND(E13*N13,2)</f>
        <v>0</v>
      </c>
      <c r="P13" s="161">
        <v>0.44</v>
      </c>
      <c r="Q13" s="161">
        <f>ROUND(E13*P13,2)</f>
        <v>605.44000000000005</v>
      </c>
      <c r="R13" s="161" t="s">
        <v>98</v>
      </c>
      <c r="S13" s="161" t="s">
        <v>161</v>
      </c>
      <c r="T13" s="161" t="s">
        <v>161</v>
      </c>
      <c r="U13" s="138"/>
      <c r="V13" s="138"/>
      <c r="W13" s="138"/>
      <c r="X13" s="138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</row>
    <row r="14" spans="1:60" outlineLevel="1" x14ac:dyDescent="0.2">
      <c r="A14" s="183"/>
      <c r="B14" s="165"/>
      <c r="C14" s="309" t="s">
        <v>125</v>
      </c>
      <c r="D14" s="310"/>
      <c r="E14" s="310"/>
      <c r="F14" s="310"/>
      <c r="G14" s="310"/>
      <c r="H14" s="190"/>
      <c r="I14" s="138"/>
      <c r="J14" s="190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</row>
    <row r="15" spans="1:60" outlineLevel="1" x14ac:dyDescent="0.2">
      <c r="A15" s="183"/>
      <c r="B15" s="165"/>
      <c r="C15" s="211" t="s">
        <v>361</v>
      </c>
      <c r="D15" s="212"/>
      <c r="E15" s="213">
        <f>776+300+20+20+170+90</f>
        <v>1376</v>
      </c>
      <c r="F15" s="210"/>
      <c r="G15" s="210"/>
      <c r="H15" s="190"/>
      <c r="I15" s="138"/>
      <c r="J15" s="190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</row>
    <row r="16" spans="1:60" outlineLevel="1" x14ac:dyDescent="0.2">
      <c r="A16" s="183"/>
      <c r="B16" s="165"/>
      <c r="C16" s="322"/>
      <c r="D16" s="323"/>
      <c r="E16" s="323"/>
      <c r="F16" s="323"/>
      <c r="G16" s="323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</row>
    <row r="17" spans="1:60" ht="22.5" outlineLevel="1" x14ac:dyDescent="0.2">
      <c r="A17" s="184">
        <f>A13+1</f>
        <v>3</v>
      </c>
      <c r="B17" s="185" t="s">
        <v>166</v>
      </c>
      <c r="C17" s="189" t="s">
        <v>165</v>
      </c>
      <c r="D17" s="186" t="s">
        <v>92</v>
      </c>
      <c r="E17" s="187">
        <f>E19</f>
        <v>41.92</v>
      </c>
      <c r="F17" s="188"/>
      <c r="G17" s="161">
        <f>ROUND(E17*F17,2)</f>
        <v>0</v>
      </c>
      <c r="H17" s="188">
        <v>0</v>
      </c>
      <c r="I17" s="161">
        <f>ROUND(E17*H17,2)</f>
        <v>0</v>
      </c>
      <c r="J17" s="188">
        <v>351</v>
      </c>
      <c r="K17" s="161">
        <f>ROUND(E17*J17,2)</f>
        <v>14713.92</v>
      </c>
      <c r="L17" s="161">
        <v>21</v>
      </c>
      <c r="M17" s="161">
        <f>G17*(1+L17/100)</f>
        <v>0</v>
      </c>
      <c r="N17" s="161">
        <v>0</v>
      </c>
      <c r="O17" s="161">
        <f>ROUND(E17*N17,2)</f>
        <v>0</v>
      </c>
      <c r="P17" s="161">
        <v>0.44</v>
      </c>
      <c r="Q17" s="161">
        <f>ROUND(E17*P17,2)</f>
        <v>18.440000000000001</v>
      </c>
      <c r="R17" s="161" t="s">
        <v>98</v>
      </c>
      <c r="S17" s="161" t="s">
        <v>161</v>
      </c>
      <c r="T17" s="161" t="s">
        <v>161</v>
      </c>
      <c r="U17" s="138"/>
      <c r="V17" s="138"/>
      <c r="W17" s="138"/>
      <c r="X17" s="138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</row>
    <row r="18" spans="1:60" outlineLevel="1" x14ac:dyDescent="0.2">
      <c r="A18" s="183"/>
      <c r="B18" s="165"/>
      <c r="C18" s="309" t="s">
        <v>125</v>
      </c>
      <c r="D18" s="310"/>
      <c r="E18" s="310"/>
      <c r="F18" s="310"/>
      <c r="G18" s="310"/>
      <c r="H18" s="190"/>
      <c r="I18" s="138"/>
      <c r="J18" s="190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</row>
    <row r="19" spans="1:60" outlineLevel="1" x14ac:dyDescent="0.2">
      <c r="A19" s="183"/>
      <c r="B19" s="165"/>
      <c r="C19" s="211" t="s">
        <v>362</v>
      </c>
      <c r="D19" s="212"/>
      <c r="E19" s="213">
        <f>8*2+12*2+1.2*1.6</f>
        <v>41.92</v>
      </c>
      <c r="F19" s="210"/>
      <c r="G19" s="210"/>
      <c r="H19" s="190"/>
      <c r="I19" s="138"/>
      <c r="J19" s="190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</row>
    <row r="20" spans="1:60" outlineLevel="1" x14ac:dyDescent="0.2">
      <c r="A20" s="183"/>
      <c r="B20" s="165"/>
      <c r="C20" s="195"/>
      <c r="D20" s="196"/>
      <c r="E20" s="196"/>
      <c r="F20" s="196"/>
      <c r="G20" s="196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</row>
    <row r="21" spans="1:60" ht="22.5" outlineLevel="1" x14ac:dyDescent="0.2">
      <c r="A21" s="184">
        <f>A17+1</f>
        <v>4</v>
      </c>
      <c r="B21" s="185" t="s">
        <v>168</v>
      </c>
      <c r="C21" s="189" t="s">
        <v>167</v>
      </c>
      <c r="D21" s="186" t="s">
        <v>92</v>
      </c>
      <c r="E21" s="187">
        <f>E23</f>
        <v>821</v>
      </c>
      <c r="F21" s="188"/>
      <c r="G21" s="161">
        <f>ROUND(E21*F21,2)</f>
        <v>0</v>
      </c>
      <c r="H21" s="188">
        <v>0</v>
      </c>
      <c r="I21" s="161">
        <f>ROUND(E21*H21,2)</f>
        <v>0</v>
      </c>
      <c r="J21" s="188">
        <v>111</v>
      </c>
      <c r="K21" s="161">
        <f>ROUND(E21*J21,2)</f>
        <v>91131</v>
      </c>
      <c r="L21" s="161">
        <v>21</v>
      </c>
      <c r="M21" s="161">
        <f>G21*(1+L21/100)</f>
        <v>0</v>
      </c>
      <c r="N21" s="161">
        <v>0</v>
      </c>
      <c r="O21" s="161">
        <f>ROUND(E21*N21,2)</f>
        <v>0</v>
      </c>
      <c r="P21" s="161">
        <v>0.11</v>
      </c>
      <c r="Q21" s="161">
        <f>ROUND(E21*P21,2)</f>
        <v>90.31</v>
      </c>
      <c r="R21" s="161" t="s">
        <v>98</v>
      </c>
      <c r="S21" s="161" t="s">
        <v>161</v>
      </c>
      <c r="T21" s="161" t="s">
        <v>161</v>
      </c>
      <c r="U21" s="138"/>
      <c r="V21" s="138"/>
      <c r="W21" s="138"/>
      <c r="X21" s="138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</row>
    <row r="22" spans="1:60" outlineLevel="1" x14ac:dyDescent="0.2">
      <c r="A22" s="183"/>
      <c r="B22" s="165"/>
      <c r="C22" s="309" t="s">
        <v>125</v>
      </c>
      <c r="D22" s="310"/>
      <c r="E22" s="310"/>
      <c r="F22" s="310"/>
      <c r="G22" s="310"/>
      <c r="H22" s="190"/>
      <c r="I22" s="138"/>
      <c r="J22" s="190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</row>
    <row r="23" spans="1:60" outlineLevel="1" x14ac:dyDescent="0.2">
      <c r="A23" s="183"/>
      <c r="B23" s="165"/>
      <c r="C23" s="211" t="s">
        <v>363</v>
      </c>
      <c r="D23" s="212"/>
      <c r="E23" s="213">
        <f>776+45</f>
        <v>821</v>
      </c>
      <c r="F23" s="191"/>
      <c r="G23" s="138"/>
      <c r="H23" s="190"/>
      <c r="I23" s="138"/>
      <c r="J23" s="190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</row>
    <row r="24" spans="1:60" outlineLevel="1" x14ac:dyDescent="0.2">
      <c r="A24" s="183"/>
      <c r="B24" s="165"/>
      <c r="C24" s="195"/>
      <c r="D24" s="196"/>
      <c r="E24" s="196"/>
      <c r="F24" s="196"/>
      <c r="G24" s="196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</row>
    <row r="25" spans="1:60" outlineLevel="1" x14ac:dyDescent="0.2">
      <c r="A25" s="184">
        <f>A21+1</f>
        <v>5</v>
      </c>
      <c r="B25" s="185" t="s">
        <v>176</v>
      </c>
      <c r="C25" s="189" t="s">
        <v>175</v>
      </c>
      <c r="D25" s="186" t="s">
        <v>102</v>
      </c>
      <c r="E25" s="187">
        <f>E27</f>
        <v>62</v>
      </c>
      <c r="F25" s="188"/>
      <c r="G25" s="161">
        <f>ROUND(E25*F25,2)</f>
        <v>0</v>
      </c>
      <c r="H25" s="188">
        <v>0</v>
      </c>
      <c r="I25" s="161">
        <f>ROUND(E25*H25,2)</f>
        <v>0</v>
      </c>
      <c r="J25" s="188">
        <v>115</v>
      </c>
      <c r="K25" s="161">
        <f>ROUND(E25*J25,2)</f>
        <v>7130</v>
      </c>
      <c r="L25" s="161">
        <v>21</v>
      </c>
      <c r="M25" s="161">
        <f>G25*(1+L25/100)</f>
        <v>0</v>
      </c>
      <c r="N25" s="161">
        <v>0</v>
      </c>
      <c r="O25" s="161">
        <f>ROUND(E25*N25,2)</f>
        <v>0</v>
      </c>
      <c r="P25" s="161">
        <v>0.22</v>
      </c>
      <c r="Q25" s="161">
        <f>ROUND(E25*P25,2)</f>
        <v>13.64</v>
      </c>
      <c r="R25" s="161" t="s">
        <v>98</v>
      </c>
      <c r="S25" s="161" t="s">
        <v>161</v>
      </c>
      <c r="T25" s="161" t="s">
        <v>161</v>
      </c>
      <c r="U25" s="138"/>
      <c r="V25" s="138"/>
      <c r="W25" s="138"/>
      <c r="X25" s="138"/>
      <c r="Y25" s="135"/>
      <c r="Z25" s="135"/>
      <c r="AA25" s="135"/>
      <c r="AB25" s="135"/>
      <c r="AC25" s="135"/>
      <c r="AD25" s="135"/>
      <c r="AE25" s="135"/>
      <c r="AF25" s="135"/>
      <c r="AG25" s="135" t="s">
        <v>101</v>
      </c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</row>
    <row r="26" spans="1:60" ht="13.5" customHeight="1" outlineLevel="1" x14ac:dyDescent="0.2">
      <c r="A26" s="183"/>
      <c r="B26" s="165"/>
      <c r="C26" s="309" t="s">
        <v>126</v>
      </c>
      <c r="D26" s="310"/>
      <c r="E26" s="310"/>
      <c r="F26" s="310"/>
      <c r="G26" s="310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5"/>
      <c r="Z26" s="135"/>
      <c r="AA26" s="135"/>
      <c r="AB26" s="135"/>
      <c r="AC26" s="135"/>
      <c r="AD26" s="135"/>
      <c r="AE26" s="135"/>
      <c r="AF26" s="135"/>
      <c r="AG26" s="135" t="s">
        <v>90</v>
      </c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</row>
    <row r="27" spans="1:60" ht="13.5" customHeight="1" outlineLevel="1" x14ac:dyDescent="0.2">
      <c r="A27" s="183"/>
      <c r="B27" s="165"/>
      <c r="C27" s="211" t="s">
        <v>364</v>
      </c>
      <c r="D27" s="212"/>
      <c r="E27" s="213">
        <f>14+4+4+27+13</f>
        <v>62</v>
      </c>
      <c r="F27" s="210"/>
      <c r="G27" s="210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</row>
    <row r="28" spans="1:60" outlineLevel="1" x14ac:dyDescent="0.2">
      <c r="A28" s="183"/>
      <c r="B28" s="165"/>
      <c r="C28" s="195"/>
      <c r="D28" s="196"/>
      <c r="E28" s="196"/>
      <c r="F28" s="196"/>
      <c r="G28" s="196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>
        <v>0.06</v>
      </c>
      <c r="V28" s="138">
        <f>ROUND(E28*U28,2)</f>
        <v>0</v>
      </c>
      <c r="W28" s="138"/>
      <c r="X28" s="138" t="s">
        <v>99</v>
      </c>
      <c r="Y28" s="135"/>
      <c r="Z28" s="135"/>
      <c r="AA28" s="135"/>
      <c r="AB28" s="135"/>
      <c r="AC28" s="135"/>
      <c r="AD28" s="135"/>
      <c r="AE28" s="135"/>
      <c r="AF28" s="135"/>
      <c r="AG28" s="135" t="s">
        <v>100</v>
      </c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</row>
    <row r="29" spans="1:60" ht="12.75" customHeight="1" outlineLevel="1" x14ac:dyDescent="0.2">
      <c r="A29" s="184">
        <f>A25+1</f>
        <v>6</v>
      </c>
      <c r="B29" s="185" t="s">
        <v>183</v>
      </c>
      <c r="C29" s="189" t="s">
        <v>182</v>
      </c>
      <c r="D29" s="186" t="s">
        <v>104</v>
      </c>
      <c r="E29" s="187">
        <f>E31</f>
        <v>5.7600000000000016</v>
      </c>
      <c r="F29" s="188"/>
      <c r="G29" s="161">
        <f>ROUND(E29*F29,2)</f>
        <v>0</v>
      </c>
      <c r="H29" s="188">
        <v>0</v>
      </c>
      <c r="I29" s="161">
        <f>ROUND(E29*H29,2)</f>
        <v>0</v>
      </c>
      <c r="J29" s="188">
        <v>695</v>
      </c>
      <c r="K29" s="161">
        <f>ROUND(E29*J29,2)</f>
        <v>4003.2</v>
      </c>
      <c r="L29" s="161">
        <v>21</v>
      </c>
      <c r="M29" s="161">
        <f>G29*(1+L29/100)</f>
        <v>0</v>
      </c>
      <c r="N29" s="187">
        <v>0</v>
      </c>
      <c r="O29" s="187">
        <f>ROUND(E29*N29,2)</f>
        <v>0</v>
      </c>
      <c r="P29" s="187">
        <v>0</v>
      </c>
      <c r="Q29" s="187">
        <f>ROUND(E29*P29,2)</f>
        <v>0</v>
      </c>
      <c r="R29" s="161" t="s">
        <v>103</v>
      </c>
      <c r="S29" s="161" t="s">
        <v>161</v>
      </c>
      <c r="T29" s="161" t="s">
        <v>161</v>
      </c>
      <c r="U29" s="138"/>
      <c r="V29" s="138"/>
      <c r="W29" s="138"/>
      <c r="X29" s="138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</row>
    <row r="30" spans="1:60" ht="24" customHeight="1" outlineLevel="1" x14ac:dyDescent="0.2">
      <c r="A30" s="183"/>
      <c r="B30" s="165"/>
      <c r="C30" s="309" t="s">
        <v>127</v>
      </c>
      <c r="D30" s="310"/>
      <c r="E30" s="310"/>
      <c r="F30" s="310"/>
      <c r="G30" s="310"/>
      <c r="H30" s="138"/>
      <c r="I30" s="138"/>
      <c r="J30" s="138"/>
      <c r="K30" s="138"/>
      <c r="L30" s="138"/>
      <c r="M30" s="138"/>
      <c r="N30" s="193"/>
      <c r="O30" s="193"/>
      <c r="P30" s="193"/>
      <c r="Q30" s="193"/>
      <c r="R30" s="138"/>
      <c r="S30" s="138"/>
      <c r="T30" s="138"/>
      <c r="U30" s="138"/>
      <c r="V30" s="138"/>
      <c r="W30" s="138"/>
      <c r="X30" s="138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</row>
    <row r="31" spans="1:60" outlineLevel="1" x14ac:dyDescent="0.2">
      <c r="A31" s="183"/>
      <c r="B31" s="165"/>
      <c r="C31" s="211" t="s">
        <v>365</v>
      </c>
      <c r="D31" s="212"/>
      <c r="E31" s="213">
        <f>0.8*0.8*1*9</f>
        <v>5.7600000000000016</v>
      </c>
      <c r="F31" s="210"/>
      <c r="G31" s="210"/>
      <c r="H31" s="138"/>
      <c r="I31" s="138"/>
      <c r="J31" s="138"/>
      <c r="K31" s="138"/>
      <c r="L31" s="138"/>
      <c r="M31" s="138"/>
      <c r="N31" s="193"/>
      <c r="O31" s="193"/>
      <c r="P31" s="193"/>
      <c r="Q31" s="193"/>
      <c r="R31" s="138"/>
      <c r="S31" s="138"/>
      <c r="T31" s="138"/>
      <c r="U31" s="138"/>
      <c r="V31" s="138"/>
      <c r="W31" s="138"/>
      <c r="X31" s="138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</row>
    <row r="32" spans="1:60" outlineLevel="1" x14ac:dyDescent="0.2">
      <c r="A32" s="183"/>
      <c r="B32" s="165"/>
      <c r="C32" s="195"/>
      <c r="D32" s="196"/>
      <c r="E32" s="196"/>
      <c r="F32" s="196"/>
      <c r="G32" s="196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</row>
    <row r="33" spans="1:60" ht="22.5" outlineLevel="1" x14ac:dyDescent="0.2">
      <c r="A33" s="184">
        <v>7</v>
      </c>
      <c r="B33" s="185" t="s">
        <v>181</v>
      </c>
      <c r="C33" s="189" t="s">
        <v>180</v>
      </c>
      <c r="D33" s="186" t="s">
        <v>104</v>
      </c>
      <c r="E33" s="187">
        <f>E35+E36</f>
        <v>283.02999999999997</v>
      </c>
      <c r="F33" s="188"/>
      <c r="G33" s="161">
        <f>ROUND(E33*F33,2)</f>
        <v>0</v>
      </c>
      <c r="H33" s="188">
        <v>0</v>
      </c>
      <c r="I33" s="161">
        <f>ROUND(E33*H33,2)</f>
        <v>0</v>
      </c>
      <c r="J33" s="188">
        <v>695</v>
      </c>
      <c r="K33" s="161">
        <f>ROUND(E33*J33,2)</f>
        <v>196705.85</v>
      </c>
      <c r="L33" s="161">
        <v>21</v>
      </c>
      <c r="M33" s="161">
        <f>G33*(1+L33/100)</f>
        <v>0</v>
      </c>
      <c r="N33" s="187">
        <v>0</v>
      </c>
      <c r="O33" s="187">
        <f>ROUND(E33*N33,2)</f>
        <v>0</v>
      </c>
      <c r="P33" s="187">
        <v>0</v>
      </c>
      <c r="Q33" s="187">
        <f>ROUND(E33*P33,2)</f>
        <v>0</v>
      </c>
      <c r="R33" s="161" t="s">
        <v>103</v>
      </c>
      <c r="S33" s="161" t="s">
        <v>161</v>
      </c>
      <c r="T33" s="161" t="s">
        <v>161</v>
      </c>
      <c r="U33" s="138"/>
      <c r="V33" s="138"/>
      <c r="W33" s="138"/>
      <c r="X33" s="138"/>
      <c r="Y33" s="135"/>
      <c r="Z33" s="135"/>
      <c r="AA33" s="135"/>
      <c r="AB33" s="135"/>
      <c r="AC33" s="135"/>
      <c r="AD33" s="135"/>
      <c r="AE33" s="135"/>
      <c r="AF33" s="135"/>
      <c r="AG33" s="135" t="s">
        <v>90</v>
      </c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</row>
    <row r="34" spans="1:60" ht="24" customHeight="1" outlineLevel="1" x14ac:dyDescent="0.2">
      <c r="A34" s="183"/>
      <c r="B34" s="165"/>
      <c r="C34" s="309" t="s">
        <v>127</v>
      </c>
      <c r="D34" s="310"/>
      <c r="E34" s="310"/>
      <c r="F34" s="310"/>
      <c r="G34" s="310"/>
      <c r="H34" s="138"/>
      <c r="I34" s="138"/>
      <c r="J34" s="138"/>
      <c r="K34" s="138"/>
      <c r="L34" s="138"/>
      <c r="M34" s="138"/>
      <c r="N34" s="193"/>
      <c r="O34" s="193"/>
      <c r="P34" s="193"/>
      <c r="Q34" s="193"/>
      <c r="R34" s="138"/>
      <c r="S34" s="138"/>
      <c r="T34" s="138"/>
      <c r="U34" s="138"/>
      <c r="V34" s="138"/>
      <c r="W34" s="138"/>
      <c r="X34" s="138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</row>
    <row r="35" spans="1:60" ht="12.6" customHeight="1" outlineLevel="1" x14ac:dyDescent="0.2">
      <c r="A35" s="183"/>
      <c r="B35" s="165"/>
      <c r="C35" s="211" t="s">
        <v>366</v>
      </c>
      <c r="D35" s="212"/>
      <c r="E35" s="213">
        <f>(120+90+68)*0.41</f>
        <v>113.97999999999999</v>
      </c>
      <c r="F35" s="210"/>
      <c r="G35" s="210"/>
      <c r="H35" s="138"/>
      <c r="I35" s="138"/>
      <c r="J35" s="138"/>
      <c r="K35" s="138"/>
      <c r="L35" s="138"/>
      <c r="M35" s="138"/>
      <c r="N35" s="193"/>
      <c r="O35" s="193"/>
      <c r="P35" s="193"/>
      <c r="Q35" s="193"/>
      <c r="R35" s="138"/>
      <c r="S35" s="138"/>
      <c r="T35" s="138"/>
      <c r="U35" s="138"/>
      <c r="V35" s="138"/>
      <c r="W35" s="138"/>
      <c r="X35" s="138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</row>
    <row r="36" spans="1:60" ht="12.75" customHeight="1" outlineLevel="1" x14ac:dyDescent="0.2">
      <c r="A36" s="183"/>
      <c r="B36" s="165"/>
      <c r="C36" s="211" t="s">
        <v>367</v>
      </c>
      <c r="D36" s="212"/>
      <c r="E36" s="213">
        <f>(776+170+20)*0.35/2</f>
        <v>169.04999999999998</v>
      </c>
      <c r="F36" s="210"/>
      <c r="G36" s="210"/>
      <c r="H36" s="138"/>
      <c r="I36" s="138"/>
      <c r="J36" s="138"/>
      <c r="K36" s="138"/>
      <c r="L36" s="138"/>
      <c r="M36" s="138"/>
      <c r="N36" s="193"/>
      <c r="O36" s="193"/>
      <c r="P36" s="193"/>
      <c r="Q36" s="193"/>
      <c r="R36" s="138"/>
      <c r="S36" s="138"/>
      <c r="T36" s="138"/>
      <c r="U36" s="138"/>
      <c r="V36" s="138"/>
      <c r="W36" s="138"/>
      <c r="X36" s="138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</row>
    <row r="37" spans="1:60" outlineLevel="1" x14ac:dyDescent="0.2">
      <c r="A37" s="183"/>
      <c r="B37" s="165"/>
      <c r="C37" s="195"/>
      <c r="D37" s="196"/>
      <c r="E37" s="196"/>
      <c r="F37" s="196"/>
      <c r="G37" s="196"/>
      <c r="H37" s="138"/>
      <c r="I37" s="138"/>
      <c r="J37" s="138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  <c r="X37" s="138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</row>
    <row r="38" spans="1:60" ht="22.5" outlineLevel="1" x14ac:dyDescent="0.2">
      <c r="A38" s="184">
        <v>8</v>
      </c>
      <c r="B38" s="185" t="s">
        <v>186</v>
      </c>
      <c r="C38" s="189" t="s">
        <v>184</v>
      </c>
      <c r="D38" s="186" t="s">
        <v>104</v>
      </c>
      <c r="E38" s="187">
        <f>E40</f>
        <v>11.25</v>
      </c>
      <c r="F38" s="188"/>
      <c r="G38" s="161">
        <f>ROUND(E38*F38,2)</f>
        <v>0</v>
      </c>
      <c r="H38" s="188">
        <v>0</v>
      </c>
      <c r="I38" s="161">
        <f>ROUND(E38*H38,2)</f>
        <v>0</v>
      </c>
      <c r="J38" s="188">
        <v>695</v>
      </c>
      <c r="K38" s="161">
        <f>ROUND(E38*J38,2)</f>
        <v>7818.75</v>
      </c>
      <c r="L38" s="161">
        <v>21</v>
      </c>
      <c r="M38" s="161">
        <f>G38*(1+L38/100)</f>
        <v>0</v>
      </c>
      <c r="N38" s="187">
        <v>0</v>
      </c>
      <c r="O38" s="187">
        <f>ROUND(E38*N38,2)</f>
        <v>0</v>
      </c>
      <c r="P38" s="187">
        <v>0</v>
      </c>
      <c r="Q38" s="187">
        <f>ROUND(E38*P38,2)</f>
        <v>0</v>
      </c>
      <c r="R38" s="161" t="s">
        <v>103</v>
      </c>
      <c r="S38" s="161" t="s">
        <v>161</v>
      </c>
      <c r="T38" s="161" t="s">
        <v>161</v>
      </c>
      <c r="U38" s="138"/>
      <c r="V38" s="138"/>
      <c r="W38" s="138"/>
      <c r="X38" s="138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</row>
    <row r="39" spans="1:60" ht="12.75" customHeight="1" outlineLevel="1" x14ac:dyDescent="0.2">
      <c r="A39" s="183"/>
      <c r="B39" s="165"/>
      <c r="C39" s="309" t="s">
        <v>127</v>
      </c>
      <c r="D39" s="310"/>
      <c r="E39" s="310"/>
      <c r="F39" s="310"/>
      <c r="G39" s="310"/>
      <c r="H39" s="138"/>
      <c r="I39" s="138"/>
      <c r="J39" s="138"/>
      <c r="K39" s="138"/>
      <c r="L39" s="138"/>
      <c r="M39" s="138"/>
      <c r="N39" s="193"/>
      <c r="O39" s="193"/>
      <c r="P39" s="193"/>
      <c r="Q39" s="193"/>
      <c r="R39" s="138"/>
      <c r="S39" s="138"/>
      <c r="T39" s="138"/>
      <c r="U39" s="138"/>
      <c r="V39" s="138"/>
      <c r="W39" s="138"/>
      <c r="X39" s="138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</row>
    <row r="40" spans="1:60" outlineLevel="1" x14ac:dyDescent="0.2">
      <c r="A40" s="183"/>
      <c r="B40" s="165"/>
      <c r="C40" s="324" t="s">
        <v>368</v>
      </c>
      <c r="D40" s="324"/>
      <c r="E40" s="213">
        <f>15*0.5*1.5</f>
        <v>11.25</v>
      </c>
      <c r="F40" s="210"/>
      <c r="G40" s="210"/>
      <c r="H40" s="138"/>
      <c r="I40" s="138"/>
      <c r="J40" s="138"/>
      <c r="K40" s="138"/>
      <c r="L40" s="138"/>
      <c r="M40" s="138"/>
      <c r="N40" s="193"/>
      <c r="O40" s="193"/>
      <c r="P40" s="193"/>
      <c r="Q40" s="193"/>
      <c r="R40" s="138"/>
      <c r="S40" s="138"/>
      <c r="T40" s="138"/>
      <c r="U40" s="138"/>
      <c r="V40" s="138"/>
      <c r="W40" s="138"/>
      <c r="X40" s="138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</row>
    <row r="41" spans="1:60" outlineLevel="1" x14ac:dyDescent="0.2">
      <c r="A41" s="183"/>
      <c r="B41" s="165"/>
      <c r="C41" s="195"/>
      <c r="D41" s="196"/>
      <c r="E41" s="196"/>
      <c r="F41" s="196"/>
      <c r="G41" s="196"/>
      <c r="H41" s="138"/>
      <c r="I41" s="138"/>
      <c r="J41" s="138"/>
      <c r="K41" s="138"/>
      <c r="L41" s="138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</row>
    <row r="42" spans="1:60" x14ac:dyDescent="0.2">
      <c r="A42" s="184">
        <f>A38+1</f>
        <v>9</v>
      </c>
      <c r="B42" s="185" t="s">
        <v>193</v>
      </c>
      <c r="C42" s="189" t="s">
        <v>192</v>
      </c>
      <c r="D42" s="186" t="s">
        <v>104</v>
      </c>
      <c r="E42" s="187">
        <f>E44+E45+E46</f>
        <v>292.53999999999996</v>
      </c>
      <c r="F42" s="188"/>
      <c r="G42" s="161">
        <f>ROUND(E42*F42,2)</f>
        <v>0</v>
      </c>
      <c r="H42" s="188">
        <v>0</v>
      </c>
      <c r="I42" s="161">
        <f>ROUND(E42*H42,2)</f>
        <v>0</v>
      </c>
      <c r="J42" s="188">
        <v>259.5</v>
      </c>
      <c r="K42" s="161">
        <f>ROUND(E42*J42,2)</f>
        <v>75914.13</v>
      </c>
      <c r="L42" s="161">
        <v>21</v>
      </c>
      <c r="M42" s="161">
        <f>G42*(1+L42/100)</f>
        <v>0</v>
      </c>
      <c r="N42" s="161">
        <v>0</v>
      </c>
      <c r="O42" s="161">
        <f>ROUND(E42*N42,2)</f>
        <v>0</v>
      </c>
      <c r="P42" s="161">
        <v>0</v>
      </c>
      <c r="Q42" s="161">
        <f>ROUND(E42*P42,2)</f>
        <v>0</v>
      </c>
      <c r="R42" s="161" t="s">
        <v>103</v>
      </c>
      <c r="S42" s="161" t="s">
        <v>161</v>
      </c>
      <c r="T42" s="161" t="s">
        <v>161</v>
      </c>
      <c r="U42" s="139"/>
      <c r="V42" s="139"/>
      <c r="W42" s="139"/>
      <c r="X42" s="139"/>
    </row>
    <row r="43" spans="1:60" outlineLevel="1" x14ac:dyDescent="0.2">
      <c r="A43" s="183"/>
      <c r="B43" s="165"/>
      <c r="C43" s="309" t="s">
        <v>128</v>
      </c>
      <c r="D43" s="310"/>
      <c r="E43" s="310"/>
      <c r="F43" s="310"/>
      <c r="G43" s="310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</row>
    <row r="44" spans="1:60" outlineLevel="1" x14ac:dyDescent="0.2">
      <c r="A44" s="183"/>
      <c r="B44" s="165"/>
      <c r="C44" s="211" t="s">
        <v>366</v>
      </c>
      <c r="D44" s="212"/>
      <c r="E44" s="213">
        <f>(120+90+68)*0.41</f>
        <v>113.97999999999999</v>
      </c>
      <c r="F44" s="210"/>
      <c r="G44" s="210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</row>
    <row r="45" spans="1:60" outlineLevel="1" x14ac:dyDescent="0.2">
      <c r="A45" s="183"/>
      <c r="B45" s="165"/>
      <c r="C45" s="211" t="s">
        <v>367</v>
      </c>
      <c r="D45" s="212"/>
      <c r="E45" s="213">
        <f>(776+170+20)*0.35/2</f>
        <v>169.04999999999998</v>
      </c>
      <c r="F45" s="210"/>
      <c r="G45" s="210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</row>
    <row r="46" spans="1:60" outlineLevel="1" x14ac:dyDescent="0.2">
      <c r="A46" s="183"/>
      <c r="B46" s="165"/>
      <c r="C46" s="324" t="s">
        <v>370</v>
      </c>
      <c r="D46" s="324"/>
      <c r="E46" s="213">
        <f>E31+E40-E53</f>
        <v>9.5100000000000016</v>
      </c>
      <c r="F46" s="210"/>
      <c r="G46" s="210"/>
      <c r="H46" s="138"/>
      <c r="I46" s="138"/>
      <c r="J46" s="138"/>
      <c r="K46" s="138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</row>
    <row r="47" spans="1:60" outlineLevel="1" x14ac:dyDescent="0.2">
      <c r="A47" s="183"/>
      <c r="B47" s="165"/>
      <c r="C47" s="195"/>
      <c r="D47" s="196"/>
      <c r="E47" s="196"/>
      <c r="F47" s="196"/>
      <c r="G47" s="196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</row>
    <row r="48" spans="1:60" ht="22.5" outlineLevel="1" x14ac:dyDescent="0.2">
      <c r="A48" s="184">
        <f>A42+1</f>
        <v>10</v>
      </c>
      <c r="B48" s="185" t="s">
        <v>197</v>
      </c>
      <c r="C48" s="189" t="s">
        <v>194</v>
      </c>
      <c r="D48" s="186" t="s">
        <v>104</v>
      </c>
      <c r="E48" s="187">
        <f>E49</f>
        <v>2925.3999999999996</v>
      </c>
      <c r="F48" s="188"/>
      <c r="G48" s="161">
        <f>ROUND(E48*F48,2)</f>
        <v>0</v>
      </c>
      <c r="H48" s="188">
        <v>0</v>
      </c>
      <c r="I48" s="161">
        <f>ROUND(E48*H48,2)</f>
        <v>0</v>
      </c>
      <c r="J48" s="188">
        <v>259.5</v>
      </c>
      <c r="K48" s="161">
        <f>ROUND(E48*J48,2)</f>
        <v>759141.3</v>
      </c>
      <c r="L48" s="161">
        <v>21</v>
      </c>
      <c r="M48" s="161">
        <f>G48*(1+L48/100)</f>
        <v>0</v>
      </c>
      <c r="N48" s="161">
        <v>0</v>
      </c>
      <c r="O48" s="161">
        <f>ROUND(E48*N48,2)</f>
        <v>0</v>
      </c>
      <c r="P48" s="161">
        <v>0</v>
      </c>
      <c r="Q48" s="161">
        <f>ROUND(E48*P48,2)</f>
        <v>0</v>
      </c>
      <c r="R48" s="161" t="s">
        <v>103</v>
      </c>
      <c r="S48" s="161" t="s">
        <v>161</v>
      </c>
      <c r="T48" s="161" t="s">
        <v>161</v>
      </c>
      <c r="U48" s="138"/>
      <c r="V48" s="138"/>
      <c r="W48" s="138"/>
      <c r="X48" s="138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</row>
    <row r="49" spans="1:60" outlineLevel="1" x14ac:dyDescent="0.2">
      <c r="A49" s="183"/>
      <c r="B49" s="165"/>
      <c r="C49" s="324" t="s">
        <v>371</v>
      </c>
      <c r="D49" s="324"/>
      <c r="E49" s="213">
        <f>E42*10</f>
        <v>2925.3999999999996</v>
      </c>
      <c r="F49" s="210"/>
      <c r="G49" s="210"/>
      <c r="H49" s="138"/>
      <c r="I49" s="138"/>
      <c r="J49" s="138"/>
      <c r="K49" s="138"/>
      <c r="L49" s="138"/>
      <c r="M49" s="138"/>
      <c r="N49" s="138"/>
      <c r="O49" s="138"/>
      <c r="P49" s="138"/>
      <c r="Q49" s="138"/>
      <c r="R49" s="138"/>
      <c r="S49" s="138"/>
      <c r="T49" s="138"/>
      <c r="U49" s="138"/>
      <c r="V49" s="138"/>
      <c r="W49" s="138"/>
      <c r="X49" s="138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</row>
    <row r="50" spans="1:60" outlineLevel="1" x14ac:dyDescent="0.2">
      <c r="A50" s="183"/>
      <c r="B50" s="165"/>
      <c r="C50" s="195"/>
      <c r="D50" s="196"/>
      <c r="E50" s="196"/>
      <c r="F50" s="196"/>
      <c r="G50" s="196"/>
      <c r="H50" s="138"/>
      <c r="I50" s="138"/>
      <c r="J50" s="138"/>
      <c r="K50" s="138"/>
      <c r="L50" s="138"/>
      <c r="M50" s="138"/>
      <c r="N50" s="138"/>
      <c r="O50" s="138"/>
      <c r="P50" s="138"/>
      <c r="Q50" s="138"/>
      <c r="R50" s="138"/>
      <c r="S50" s="138"/>
      <c r="T50" s="138"/>
      <c r="U50" s="138"/>
      <c r="V50" s="138"/>
      <c r="W50" s="138"/>
      <c r="X50" s="138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</row>
    <row r="51" spans="1:60" outlineLevel="1" x14ac:dyDescent="0.2">
      <c r="A51" s="184">
        <f>A48+1</f>
        <v>11</v>
      </c>
      <c r="B51" s="185" t="s">
        <v>189</v>
      </c>
      <c r="C51" s="189" t="s">
        <v>187</v>
      </c>
      <c r="D51" s="186" t="s">
        <v>104</v>
      </c>
      <c r="E51" s="187">
        <f>E53</f>
        <v>7.5</v>
      </c>
      <c r="F51" s="188"/>
      <c r="G51" s="161">
        <f>ROUND(E51*F51,2)</f>
        <v>0</v>
      </c>
      <c r="H51" s="188">
        <v>0</v>
      </c>
      <c r="I51" s="161">
        <f>ROUND(E51*H51,2)</f>
        <v>0</v>
      </c>
      <c r="J51" s="188">
        <v>695</v>
      </c>
      <c r="K51" s="161">
        <f>ROUND(E51*J51,2)</f>
        <v>5212.5</v>
      </c>
      <c r="L51" s="161">
        <v>21</v>
      </c>
      <c r="M51" s="161">
        <f>G51*(1+L51/100)</f>
        <v>0</v>
      </c>
      <c r="N51" s="187">
        <v>0</v>
      </c>
      <c r="O51" s="187">
        <f>ROUND(E51*N51,2)</f>
        <v>0</v>
      </c>
      <c r="P51" s="187">
        <v>0</v>
      </c>
      <c r="Q51" s="187">
        <f>ROUND(E51*P51,2)</f>
        <v>0</v>
      </c>
      <c r="R51" s="161" t="s">
        <v>103</v>
      </c>
      <c r="S51" s="161" t="s">
        <v>161</v>
      </c>
      <c r="T51" s="161" t="s">
        <v>161</v>
      </c>
      <c r="U51" s="138"/>
      <c r="V51" s="138"/>
      <c r="W51" s="138"/>
      <c r="X51" s="138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</row>
    <row r="52" spans="1:60" outlineLevel="1" x14ac:dyDescent="0.2">
      <c r="A52" s="183"/>
      <c r="B52" s="165"/>
      <c r="C52" s="309" t="s">
        <v>188</v>
      </c>
      <c r="D52" s="310"/>
      <c r="E52" s="310"/>
      <c r="F52" s="310"/>
      <c r="G52" s="310"/>
      <c r="H52" s="138"/>
      <c r="I52" s="138"/>
      <c r="J52" s="138"/>
      <c r="K52" s="138"/>
      <c r="L52" s="138"/>
      <c r="M52" s="138"/>
      <c r="N52" s="193"/>
      <c r="O52" s="193"/>
      <c r="P52" s="193"/>
      <c r="Q52" s="193"/>
      <c r="R52" s="138"/>
      <c r="S52" s="138"/>
      <c r="T52" s="138"/>
      <c r="U52" s="138"/>
      <c r="V52" s="138"/>
      <c r="W52" s="138"/>
      <c r="X52" s="138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</row>
    <row r="53" spans="1:60" outlineLevel="1" x14ac:dyDescent="0.2">
      <c r="A53" s="183"/>
      <c r="B53" s="165"/>
      <c r="C53" s="324" t="s">
        <v>369</v>
      </c>
      <c r="D53" s="324"/>
      <c r="E53" s="213">
        <f>15*0.5*1</f>
        <v>7.5</v>
      </c>
      <c r="F53" s="210"/>
      <c r="G53" s="210"/>
      <c r="H53" s="138"/>
      <c r="I53" s="138"/>
      <c r="J53" s="138"/>
      <c r="K53" s="138"/>
      <c r="L53" s="138"/>
      <c r="M53" s="138"/>
      <c r="N53" s="193"/>
      <c r="O53" s="193"/>
      <c r="P53" s="193"/>
      <c r="Q53" s="193"/>
      <c r="R53" s="138"/>
      <c r="S53" s="138"/>
      <c r="T53" s="138"/>
      <c r="U53" s="138"/>
      <c r="V53" s="138"/>
      <c r="W53" s="138"/>
      <c r="X53" s="138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</row>
    <row r="54" spans="1:60" outlineLevel="1" x14ac:dyDescent="0.2">
      <c r="A54" s="183"/>
      <c r="B54" s="165"/>
      <c r="C54" s="195"/>
      <c r="D54" s="196"/>
      <c r="E54" s="196"/>
      <c r="F54" s="196"/>
      <c r="G54" s="196"/>
      <c r="H54" s="138"/>
      <c r="I54" s="138"/>
      <c r="J54" s="138"/>
      <c r="K54" s="138"/>
      <c r="L54" s="138"/>
      <c r="M54" s="138"/>
      <c r="N54" s="138"/>
      <c r="O54" s="138"/>
      <c r="P54" s="138"/>
      <c r="Q54" s="138"/>
      <c r="R54" s="138"/>
      <c r="S54" s="138"/>
      <c r="T54" s="138"/>
      <c r="U54" s="138"/>
      <c r="V54" s="138"/>
      <c r="W54" s="138"/>
      <c r="X54" s="138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</row>
    <row r="55" spans="1:60" outlineLevel="1" x14ac:dyDescent="0.2">
      <c r="A55" s="184">
        <f>A51+1</f>
        <v>12</v>
      </c>
      <c r="B55" s="185" t="s">
        <v>306</v>
      </c>
      <c r="C55" s="189" t="s">
        <v>307</v>
      </c>
      <c r="D55" s="186" t="s">
        <v>104</v>
      </c>
      <c r="E55" s="187">
        <f>E56</f>
        <v>3.75</v>
      </c>
      <c r="F55" s="188"/>
      <c r="G55" s="161">
        <f>ROUND(E55*F55,2)</f>
        <v>0</v>
      </c>
      <c r="H55" s="188">
        <v>0</v>
      </c>
      <c r="I55" s="161">
        <f>ROUND(E55*H55,2)</f>
        <v>0</v>
      </c>
      <c r="J55" s="188">
        <v>695</v>
      </c>
      <c r="K55" s="161">
        <f>ROUND(E55*J55,2)</f>
        <v>2606.25</v>
      </c>
      <c r="L55" s="161">
        <v>21</v>
      </c>
      <c r="M55" s="161">
        <f>G55*(1+L55/100)</f>
        <v>0</v>
      </c>
      <c r="N55" s="187">
        <v>0</v>
      </c>
      <c r="O55" s="187">
        <f>ROUND(E55*N55,2)</f>
        <v>0</v>
      </c>
      <c r="P55" s="187">
        <v>0</v>
      </c>
      <c r="Q55" s="187">
        <f>ROUND(E55*P55,2)</f>
        <v>0</v>
      </c>
      <c r="R55" s="161" t="s">
        <v>103</v>
      </c>
      <c r="S55" s="161" t="s">
        <v>161</v>
      </c>
      <c r="T55" s="161" t="s">
        <v>161</v>
      </c>
      <c r="U55" s="138"/>
      <c r="V55" s="138"/>
      <c r="W55" s="138"/>
      <c r="X55" s="138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</row>
    <row r="56" spans="1:60" outlineLevel="1" x14ac:dyDescent="0.2">
      <c r="A56" s="183"/>
      <c r="B56" s="165"/>
      <c r="C56" s="324" t="s">
        <v>372</v>
      </c>
      <c r="D56" s="324"/>
      <c r="E56" s="213">
        <f>11.25-7.5</f>
        <v>3.75</v>
      </c>
      <c r="F56" s="210"/>
      <c r="G56" s="210"/>
      <c r="H56" s="138"/>
      <c r="I56" s="138"/>
      <c r="J56" s="138"/>
      <c r="K56" s="138"/>
      <c r="L56" s="138"/>
      <c r="M56" s="138"/>
      <c r="N56" s="193"/>
      <c r="O56" s="193"/>
      <c r="P56" s="193"/>
      <c r="Q56" s="193"/>
      <c r="R56" s="138"/>
      <c r="S56" s="138"/>
      <c r="T56" s="138"/>
      <c r="U56" s="138"/>
      <c r="V56" s="138"/>
      <c r="W56" s="138"/>
      <c r="X56" s="138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</row>
    <row r="57" spans="1:60" outlineLevel="1" x14ac:dyDescent="0.2">
      <c r="A57" s="183"/>
      <c r="B57" s="165"/>
      <c r="C57" s="195"/>
      <c r="D57" s="196"/>
      <c r="E57" s="196"/>
      <c r="F57" s="196"/>
      <c r="G57" s="196"/>
      <c r="H57" s="138"/>
      <c r="I57" s="138"/>
      <c r="J57" s="138"/>
      <c r="K57" s="138"/>
      <c r="L57" s="138"/>
      <c r="M57" s="138"/>
      <c r="N57" s="138"/>
      <c r="O57" s="138"/>
      <c r="P57" s="138"/>
      <c r="Q57" s="138"/>
      <c r="R57" s="138"/>
      <c r="S57" s="138"/>
      <c r="T57" s="138"/>
      <c r="U57" s="138"/>
      <c r="V57" s="138"/>
      <c r="W57" s="138"/>
      <c r="X57" s="138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</row>
    <row r="58" spans="1:60" ht="22.5" outlineLevel="1" x14ac:dyDescent="0.2">
      <c r="A58" s="184">
        <f>A55+1</f>
        <v>13</v>
      </c>
      <c r="B58" s="214" t="s">
        <v>309</v>
      </c>
      <c r="C58" s="215" t="s">
        <v>311</v>
      </c>
      <c r="D58" s="186" t="s">
        <v>106</v>
      </c>
      <c r="E58" s="187">
        <f>E59</f>
        <v>6</v>
      </c>
      <c r="F58" s="188"/>
      <c r="G58" s="161">
        <f>ROUND(E58*F58,2)</f>
        <v>0</v>
      </c>
      <c r="H58" s="188">
        <v>0</v>
      </c>
      <c r="I58" s="161">
        <f>ROUND(E58*H58,2)</f>
        <v>0</v>
      </c>
      <c r="J58" s="188">
        <v>695</v>
      </c>
      <c r="K58" s="161">
        <f>ROUND(E58*J58,2)</f>
        <v>4170</v>
      </c>
      <c r="L58" s="161">
        <v>21</v>
      </c>
      <c r="M58" s="161">
        <f>G58*(1+L58/100)</f>
        <v>0</v>
      </c>
      <c r="N58" s="187">
        <v>0</v>
      </c>
      <c r="O58" s="187">
        <f>ROUND(E58*N58,2)</f>
        <v>0</v>
      </c>
      <c r="P58" s="187">
        <v>0</v>
      </c>
      <c r="Q58" s="187">
        <f>ROUND(E58*P58,2)</f>
        <v>0</v>
      </c>
      <c r="R58" s="161" t="s">
        <v>103</v>
      </c>
      <c r="S58" s="161" t="s">
        <v>161</v>
      </c>
      <c r="T58" s="161" t="s">
        <v>161</v>
      </c>
      <c r="U58" s="138"/>
      <c r="V58" s="138"/>
      <c r="W58" s="138"/>
      <c r="X58" s="138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</row>
    <row r="59" spans="1:60" outlineLevel="1" x14ac:dyDescent="0.2">
      <c r="A59" s="183"/>
      <c r="B59" s="216"/>
      <c r="C59" s="324" t="s">
        <v>373</v>
      </c>
      <c r="D59" s="324"/>
      <c r="E59" s="213">
        <f>3.75*1.6</f>
        <v>6</v>
      </c>
      <c r="F59" s="210"/>
      <c r="G59" s="210"/>
      <c r="H59" s="190"/>
      <c r="I59" s="138"/>
      <c r="J59" s="190"/>
      <c r="K59" s="138"/>
      <c r="L59" s="138"/>
      <c r="M59" s="138"/>
      <c r="N59" s="193"/>
      <c r="O59" s="193"/>
      <c r="P59" s="193"/>
      <c r="Q59" s="193"/>
      <c r="R59" s="138"/>
      <c r="S59" s="138"/>
      <c r="T59" s="138"/>
      <c r="U59" s="138"/>
      <c r="V59" s="138"/>
      <c r="W59" s="138"/>
      <c r="X59" s="138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</row>
    <row r="60" spans="1:60" outlineLevel="1" x14ac:dyDescent="0.2">
      <c r="A60" s="183"/>
      <c r="B60" s="165"/>
      <c r="C60" s="195"/>
      <c r="D60" s="196"/>
      <c r="E60" s="196"/>
      <c r="F60" s="196"/>
      <c r="G60" s="196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</row>
    <row r="61" spans="1:60" outlineLevel="1" x14ac:dyDescent="0.2">
      <c r="A61" s="184">
        <f>A58+1</f>
        <v>14</v>
      </c>
      <c r="B61" s="185" t="s">
        <v>198</v>
      </c>
      <c r="C61" s="189" t="s">
        <v>129</v>
      </c>
      <c r="D61" s="186" t="s">
        <v>92</v>
      </c>
      <c r="E61" s="187">
        <v>50</v>
      </c>
      <c r="F61" s="188"/>
      <c r="G61" s="161">
        <f>ROUND(E61*F61,2)</f>
        <v>0</v>
      </c>
      <c r="H61" s="188">
        <v>1.68</v>
      </c>
      <c r="I61" s="161">
        <f>ROUND(E61*H61,2)</f>
        <v>84</v>
      </c>
      <c r="J61" s="188">
        <v>22.42</v>
      </c>
      <c r="K61" s="161">
        <f>ROUND(E61*J61,2)</f>
        <v>1121</v>
      </c>
      <c r="L61" s="161">
        <v>21</v>
      </c>
      <c r="M61" s="161">
        <f>G61*(1+L61/100)</f>
        <v>0</v>
      </c>
      <c r="N61" s="161">
        <v>0</v>
      </c>
      <c r="O61" s="161">
        <f>ROUND(E61*N61,2)</f>
        <v>0</v>
      </c>
      <c r="P61" s="161">
        <v>0</v>
      </c>
      <c r="Q61" s="161">
        <f>ROUND(E61*P61,2)</f>
        <v>0</v>
      </c>
      <c r="R61" s="161" t="s">
        <v>105</v>
      </c>
      <c r="S61" s="161" t="s">
        <v>161</v>
      </c>
      <c r="T61" s="161" t="s">
        <v>161</v>
      </c>
      <c r="U61" s="138">
        <v>3.6999999999999998E-2</v>
      </c>
      <c r="V61" s="138">
        <f>ROUND(E61*U61,2)</f>
        <v>1.85</v>
      </c>
      <c r="W61" s="138"/>
      <c r="X61" s="138" t="s">
        <v>99</v>
      </c>
      <c r="Y61" s="135"/>
      <c r="Z61" s="135"/>
      <c r="AA61" s="135"/>
      <c r="AB61" s="135"/>
      <c r="AC61" s="135"/>
      <c r="AD61" s="135"/>
      <c r="AE61" s="135"/>
      <c r="AF61" s="135"/>
      <c r="AG61" s="135" t="s">
        <v>100</v>
      </c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</row>
    <row r="62" spans="1:60" ht="13.15" customHeight="1" outlineLevel="1" x14ac:dyDescent="0.2">
      <c r="A62" s="183"/>
      <c r="B62" s="165"/>
      <c r="C62" s="309" t="s">
        <v>130</v>
      </c>
      <c r="D62" s="310"/>
      <c r="E62" s="310"/>
      <c r="F62" s="310"/>
      <c r="G62" s="310"/>
      <c r="H62" s="138"/>
      <c r="I62" s="138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38"/>
      <c r="V62" s="138"/>
      <c r="W62" s="138"/>
      <c r="X62" s="138"/>
      <c r="Y62" s="135"/>
      <c r="Z62" s="135"/>
      <c r="AA62" s="135"/>
      <c r="AB62" s="135"/>
      <c r="AC62" s="135"/>
      <c r="AD62" s="135"/>
      <c r="AE62" s="135"/>
      <c r="AF62" s="135"/>
      <c r="AG62" s="135" t="s">
        <v>101</v>
      </c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</row>
    <row r="63" spans="1:60" outlineLevel="1" x14ac:dyDescent="0.2">
      <c r="A63" s="183"/>
      <c r="B63" s="165"/>
      <c r="C63" s="322"/>
      <c r="D63" s="323"/>
      <c r="E63" s="323"/>
      <c r="F63" s="323"/>
      <c r="G63" s="323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5"/>
      <c r="Z63" s="135"/>
      <c r="AA63" s="135"/>
      <c r="AB63" s="135"/>
      <c r="AC63" s="135"/>
      <c r="AD63" s="135"/>
      <c r="AE63" s="135"/>
      <c r="AF63" s="135"/>
      <c r="AG63" s="135" t="s">
        <v>90</v>
      </c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</row>
    <row r="64" spans="1:60" outlineLevel="1" x14ac:dyDescent="0.2">
      <c r="A64" s="184">
        <f>A61+1</f>
        <v>15</v>
      </c>
      <c r="B64" s="185" t="s">
        <v>199</v>
      </c>
      <c r="C64" s="189" t="s">
        <v>202</v>
      </c>
      <c r="D64" s="186" t="s">
        <v>92</v>
      </c>
      <c r="E64" s="187">
        <f>E61</f>
        <v>50</v>
      </c>
      <c r="F64" s="188"/>
      <c r="G64" s="161">
        <f>ROUND(E64*F64,2)</f>
        <v>0</v>
      </c>
      <c r="H64" s="188">
        <v>0</v>
      </c>
      <c r="I64" s="161">
        <f>ROUND(E64*H64,2)</f>
        <v>0</v>
      </c>
      <c r="J64" s="188">
        <v>17.399999999999999</v>
      </c>
      <c r="K64" s="161">
        <f>ROUND(E64*J64,2)</f>
        <v>870</v>
      </c>
      <c r="L64" s="161">
        <v>21</v>
      </c>
      <c r="M64" s="161">
        <f>G64*(1+L64/100)</f>
        <v>0</v>
      </c>
      <c r="N64" s="161">
        <v>0</v>
      </c>
      <c r="O64" s="161">
        <f>ROUND(E64*N64,2)</f>
        <v>0</v>
      </c>
      <c r="P64" s="161">
        <v>0</v>
      </c>
      <c r="Q64" s="161">
        <f>ROUND(E64*P64,2)</f>
        <v>0</v>
      </c>
      <c r="R64" s="161" t="s">
        <v>131</v>
      </c>
      <c r="S64" s="161" t="s">
        <v>161</v>
      </c>
      <c r="T64" s="161" t="s">
        <v>161</v>
      </c>
      <c r="U64" s="138"/>
      <c r="V64" s="138"/>
      <c r="W64" s="138"/>
      <c r="X64" s="138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</row>
    <row r="65" spans="1:60" outlineLevel="1" x14ac:dyDescent="0.2">
      <c r="A65" s="183"/>
      <c r="B65" s="165"/>
      <c r="C65" s="195"/>
      <c r="D65" s="196"/>
      <c r="E65" s="196"/>
      <c r="F65" s="196"/>
      <c r="G65" s="196"/>
      <c r="H65" s="138"/>
      <c r="I65" s="138"/>
      <c r="J65" s="138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</row>
    <row r="66" spans="1:60" outlineLevel="1" x14ac:dyDescent="0.2">
      <c r="A66" s="184">
        <f>A64+1</f>
        <v>16</v>
      </c>
      <c r="B66" s="214" t="s">
        <v>201</v>
      </c>
      <c r="C66" s="215" t="s">
        <v>203</v>
      </c>
      <c r="D66" s="186" t="s">
        <v>104</v>
      </c>
      <c r="E66" s="187">
        <f>E67</f>
        <v>5</v>
      </c>
      <c r="F66" s="188"/>
      <c r="G66" s="161">
        <f>ROUND(E66*F66,2)</f>
        <v>0</v>
      </c>
      <c r="H66" s="188">
        <v>0</v>
      </c>
      <c r="I66" s="161">
        <f>ROUND(E66*H66,2)</f>
        <v>0</v>
      </c>
      <c r="J66" s="188">
        <v>17.399999999999999</v>
      </c>
      <c r="K66" s="161">
        <f>ROUND(E66*J66,2)</f>
        <v>87</v>
      </c>
      <c r="L66" s="161">
        <v>21</v>
      </c>
      <c r="M66" s="161">
        <f>G66*(1+L66/100)</f>
        <v>0</v>
      </c>
      <c r="N66" s="161">
        <v>0</v>
      </c>
      <c r="O66" s="161">
        <f>ROUND(E66*N66,2)</f>
        <v>0</v>
      </c>
      <c r="P66" s="161">
        <v>0</v>
      </c>
      <c r="Q66" s="161">
        <f>ROUND(E66*P66,2)</f>
        <v>0</v>
      </c>
      <c r="R66" s="161" t="s">
        <v>131</v>
      </c>
      <c r="S66" s="161" t="s">
        <v>161</v>
      </c>
      <c r="T66" s="161" t="s">
        <v>161</v>
      </c>
      <c r="U66" s="138"/>
      <c r="V66" s="138"/>
      <c r="W66" s="138"/>
      <c r="X66" s="138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</row>
    <row r="67" spans="1:60" outlineLevel="1" x14ac:dyDescent="0.2">
      <c r="A67" s="183"/>
      <c r="B67" s="165"/>
      <c r="C67" s="324" t="s">
        <v>374</v>
      </c>
      <c r="D67" s="324"/>
      <c r="E67" s="213">
        <f>50*0.1</f>
        <v>5</v>
      </c>
      <c r="F67" s="210"/>
      <c r="G67" s="210"/>
      <c r="H67" s="190"/>
      <c r="I67" s="138"/>
      <c r="J67" s="190"/>
      <c r="K67" s="138"/>
      <c r="L67" s="138"/>
      <c r="M67" s="138"/>
      <c r="N67" s="138"/>
      <c r="O67" s="138"/>
      <c r="P67" s="138"/>
      <c r="Q67" s="138"/>
      <c r="R67" s="138"/>
      <c r="S67" s="138"/>
      <c r="T67" s="138"/>
      <c r="U67" s="138"/>
      <c r="V67" s="138"/>
      <c r="W67" s="138"/>
      <c r="X67" s="138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</row>
    <row r="68" spans="1:60" outlineLevel="1" x14ac:dyDescent="0.2">
      <c r="A68" s="183"/>
      <c r="B68" s="165"/>
      <c r="C68" s="195"/>
      <c r="D68" s="196"/>
      <c r="E68" s="196"/>
      <c r="F68" s="196"/>
      <c r="G68" s="196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</row>
    <row r="69" spans="1:60" outlineLevel="1" x14ac:dyDescent="0.2">
      <c r="A69" s="184">
        <f>A66+1</f>
        <v>17</v>
      </c>
      <c r="B69" s="185" t="s">
        <v>204</v>
      </c>
      <c r="C69" s="189" t="s">
        <v>122</v>
      </c>
      <c r="D69" s="186" t="s">
        <v>92</v>
      </c>
      <c r="E69" s="187">
        <f>E71</f>
        <v>1376</v>
      </c>
      <c r="F69" s="188"/>
      <c r="G69" s="161">
        <f>ROUND(E69*F69,2)</f>
        <v>0</v>
      </c>
      <c r="H69" s="188">
        <v>0</v>
      </c>
      <c r="I69" s="161">
        <f>ROUND(E69*H69,2)</f>
        <v>0</v>
      </c>
      <c r="J69" s="188">
        <v>13.3</v>
      </c>
      <c r="K69" s="161">
        <f>ROUND(E69*J69,2)</f>
        <v>18300.8</v>
      </c>
      <c r="L69" s="161">
        <v>21</v>
      </c>
      <c r="M69" s="161">
        <f>G69*(1+L69/100)</f>
        <v>0</v>
      </c>
      <c r="N69" s="161">
        <v>0</v>
      </c>
      <c r="O69" s="161">
        <f>ROUND(E69*N69,2)</f>
        <v>0</v>
      </c>
      <c r="P69" s="161">
        <v>0</v>
      </c>
      <c r="Q69" s="161">
        <f>ROUND(E69*P69,2)</f>
        <v>0</v>
      </c>
      <c r="R69" s="161" t="s">
        <v>103</v>
      </c>
      <c r="S69" s="161" t="s">
        <v>161</v>
      </c>
      <c r="T69" s="161" t="s">
        <v>161</v>
      </c>
      <c r="U69" s="138"/>
      <c r="V69" s="138"/>
      <c r="W69" s="138"/>
      <c r="X69" s="138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</row>
    <row r="70" spans="1:60" outlineLevel="1" x14ac:dyDescent="0.2">
      <c r="A70" s="183"/>
      <c r="B70" s="165"/>
      <c r="C70" s="198" t="s">
        <v>205</v>
      </c>
      <c r="D70" s="192"/>
      <c r="E70" s="193"/>
      <c r="F70" s="191"/>
      <c r="G70" s="138"/>
      <c r="H70" s="190"/>
      <c r="I70" s="138"/>
      <c r="J70" s="190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</row>
    <row r="71" spans="1:60" outlineLevel="1" x14ac:dyDescent="0.2">
      <c r="A71" s="183"/>
      <c r="B71" s="165"/>
      <c r="C71" s="211" t="s">
        <v>361</v>
      </c>
      <c r="D71" s="212"/>
      <c r="E71" s="213">
        <f>776+300+20+20+170+90</f>
        <v>1376</v>
      </c>
      <c r="F71" s="210"/>
      <c r="G71" s="210"/>
      <c r="H71" s="190"/>
      <c r="I71" s="138"/>
      <c r="J71" s="190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</row>
    <row r="72" spans="1:60" ht="13.15" customHeight="1" outlineLevel="1" x14ac:dyDescent="0.2">
      <c r="A72" s="183"/>
      <c r="B72" s="165"/>
      <c r="C72" s="195"/>
      <c r="D72" s="196"/>
      <c r="E72" s="196"/>
      <c r="F72" s="196"/>
      <c r="G72" s="196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8"/>
      <c r="V72" s="138"/>
      <c r="W72" s="138"/>
      <c r="X72" s="138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</row>
    <row r="73" spans="1:60" ht="22.5" outlineLevel="1" x14ac:dyDescent="0.2">
      <c r="A73" s="184">
        <f>A69+1</f>
        <v>18</v>
      </c>
      <c r="B73" s="185" t="s">
        <v>206</v>
      </c>
      <c r="C73" s="189" t="s">
        <v>207</v>
      </c>
      <c r="D73" s="186" t="s">
        <v>104</v>
      </c>
      <c r="E73" s="187">
        <f>E42</f>
        <v>292.53999999999996</v>
      </c>
      <c r="F73" s="188"/>
      <c r="G73" s="161">
        <f>ROUND(E73*F73,2)</f>
        <v>0</v>
      </c>
      <c r="H73" s="188">
        <v>0</v>
      </c>
      <c r="I73" s="161">
        <f>ROUND(E73*H73,2)</f>
        <v>0</v>
      </c>
      <c r="J73" s="188">
        <v>282.5</v>
      </c>
      <c r="K73" s="161">
        <f>ROUND(E73*J73,2)</f>
        <v>82642.55</v>
      </c>
      <c r="L73" s="161">
        <v>21</v>
      </c>
      <c r="M73" s="161">
        <f>G73*(1+L73/100)</f>
        <v>0</v>
      </c>
      <c r="N73" s="161">
        <v>0</v>
      </c>
      <c r="O73" s="161">
        <f>ROUND(E73*N73,2)</f>
        <v>0</v>
      </c>
      <c r="P73" s="161">
        <v>0</v>
      </c>
      <c r="Q73" s="161">
        <f>ROUND(E73*P73,2)</f>
        <v>0</v>
      </c>
      <c r="R73" s="161" t="s">
        <v>103</v>
      </c>
      <c r="S73" s="161" t="s">
        <v>161</v>
      </c>
      <c r="T73" s="161" t="s">
        <v>161</v>
      </c>
      <c r="U73" s="138"/>
      <c r="V73" s="138"/>
      <c r="W73" s="138"/>
      <c r="X73" s="138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</row>
    <row r="74" spans="1:60" x14ac:dyDescent="0.2">
      <c r="A74" s="183"/>
      <c r="B74" s="165"/>
      <c r="C74" s="325"/>
      <c r="D74" s="326"/>
      <c r="E74" s="326"/>
      <c r="F74" s="326"/>
      <c r="G74" s="326"/>
      <c r="H74" s="138"/>
      <c r="I74" s="138"/>
      <c r="J74" s="138"/>
      <c r="K74" s="138"/>
      <c r="L74" s="138"/>
      <c r="M74" s="138"/>
      <c r="N74" s="138"/>
      <c r="O74" s="138"/>
      <c r="P74" s="138"/>
      <c r="Q74" s="138"/>
      <c r="R74" s="138"/>
      <c r="S74" s="138"/>
      <c r="T74" s="138"/>
      <c r="U74" s="139"/>
      <c r="V74" s="139">
        <f>SUM(V75:V76)</f>
        <v>0</v>
      </c>
      <c r="W74" s="139"/>
      <c r="X74" s="139"/>
      <c r="Z74" s="81"/>
      <c r="AG74" t="s">
        <v>89</v>
      </c>
    </row>
    <row r="75" spans="1:60" outlineLevel="1" x14ac:dyDescent="0.2">
      <c r="A75" s="140" t="s">
        <v>88</v>
      </c>
      <c r="B75" s="141" t="s">
        <v>53</v>
      </c>
      <c r="C75" s="147" t="s">
        <v>54</v>
      </c>
      <c r="D75" s="142"/>
      <c r="E75" s="143"/>
      <c r="F75" s="144"/>
      <c r="G75" s="144">
        <f>SUMIF(AG76:AG131,"&lt;&gt;NOR",G76:G131)</f>
        <v>0</v>
      </c>
      <c r="H75" s="144"/>
      <c r="I75" s="144">
        <f>SUM(I76:I98)</f>
        <v>594644.75</v>
      </c>
      <c r="J75" s="144"/>
      <c r="K75" s="144">
        <f>SUM(K76:K98)</f>
        <v>93910.25</v>
      </c>
      <c r="L75" s="144"/>
      <c r="M75" s="144">
        <f>SUMIF(AM76:AM131,"&lt;&gt;NOR",M76:M131)</f>
        <v>0</v>
      </c>
      <c r="N75" s="144"/>
      <c r="O75" s="144">
        <f>SUM(O76:O98)</f>
        <v>1362.6899999999998</v>
      </c>
      <c r="P75" s="144"/>
      <c r="Q75" s="144">
        <f>SUM(Q76:Q98)</f>
        <v>0</v>
      </c>
      <c r="R75" s="144"/>
      <c r="S75" s="144"/>
      <c r="T75" s="145"/>
      <c r="U75" s="138"/>
      <c r="V75" s="138"/>
      <c r="W75" s="138"/>
      <c r="X75" s="138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</row>
    <row r="76" spans="1:60" ht="22.5" outlineLevel="1" x14ac:dyDescent="0.2">
      <c r="A76" s="184">
        <f>A73+1</f>
        <v>19</v>
      </c>
      <c r="B76" s="185" t="s">
        <v>211</v>
      </c>
      <c r="C76" s="189" t="s">
        <v>325</v>
      </c>
      <c r="D76" s="186" t="s">
        <v>92</v>
      </c>
      <c r="E76" s="187">
        <f>E77</f>
        <v>170</v>
      </c>
      <c r="F76" s="188"/>
      <c r="G76" s="161">
        <f>ROUND(E76*F76,2)</f>
        <v>0</v>
      </c>
      <c r="H76" s="188">
        <v>164.95</v>
      </c>
      <c r="I76" s="161">
        <f>ROUND(E76*H76,2)</f>
        <v>28041.5</v>
      </c>
      <c r="J76" s="188">
        <v>26.05</v>
      </c>
      <c r="K76" s="161">
        <f>ROUND(E76*J76,2)</f>
        <v>4428.5</v>
      </c>
      <c r="L76" s="161">
        <v>21</v>
      </c>
      <c r="M76" s="161">
        <f>G76*(1+L76/100)</f>
        <v>0</v>
      </c>
      <c r="N76" s="161">
        <v>0.378</v>
      </c>
      <c r="O76" s="161">
        <f>ROUND(E76*N76,2)</f>
        <v>64.260000000000005</v>
      </c>
      <c r="P76" s="161">
        <v>0</v>
      </c>
      <c r="Q76" s="161">
        <f>ROUND(E76*P76,2)</f>
        <v>0</v>
      </c>
      <c r="R76" s="161" t="s">
        <v>98</v>
      </c>
      <c r="S76" s="161" t="s">
        <v>161</v>
      </c>
      <c r="T76" s="161" t="s">
        <v>161</v>
      </c>
      <c r="U76" s="138"/>
      <c r="V76" s="138"/>
      <c r="W76" s="138"/>
      <c r="X76" s="138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</row>
    <row r="77" spans="1:60" outlineLevel="1" x14ac:dyDescent="0.2">
      <c r="A77" s="183"/>
      <c r="B77" s="165"/>
      <c r="C77" s="211" t="s">
        <v>375</v>
      </c>
      <c r="D77" s="212"/>
      <c r="E77" s="213">
        <v>170</v>
      </c>
      <c r="F77" s="210"/>
      <c r="G77" s="210"/>
      <c r="H77" s="190"/>
      <c r="I77" s="138"/>
      <c r="J77" s="190"/>
      <c r="K77" s="138"/>
      <c r="L77" s="138"/>
      <c r="M77" s="138"/>
      <c r="N77" s="138"/>
      <c r="O77" s="138"/>
      <c r="P77" s="138"/>
      <c r="Q77" s="138"/>
      <c r="R77" s="138"/>
      <c r="S77" s="138"/>
      <c r="T77" s="138"/>
      <c r="U77" s="138"/>
      <c r="V77" s="138"/>
      <c r="W77" s="138"/>
      <c r="X77" s="138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</row>
    <row r="78" spans="1:60" outlineLevel="1" x14ac:dyDescent="0.2">
      <c r="A78" s="183"/>
      <c r="B78" s="165"/>
      <c r="C78" s="195"/>
      <c r="D78" s="196"/>
      <c r="E78" s="196"/>
      <c r="F78" s="196"/>
      <c r="G78" s="196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</row>
    <row r="79" spans="1:60" ht="22.5" outlineLevel="1" x14ac:dyDescent="0.2">
      <c r="A79" s="184">
        <f>A76+1</f>
        <v>20</v>
      </c>
      <c r="B79" s="185" t="s">
        <v>210</v>
      </c>
      <c r="C79" s="189" t="s">
        <v>324</v>
      </c>
      <c r="D79" s="186" t="s">
        <v>92</v>
      </c>
      <c r="E79" s="187">
        <f>E80</f>
        <v>170</v>
      </c>
      <c r="F79" s="188"/>
      <c r="G79" s="161">
        <f>ROUND(E79*F79,2)</f>
        <v>0</v>
      </c>
      <c r="H79" s="188">
        <v>164.95</v>
      </c>
      <c r="I79" s="161">
        <f>ROUND(E79*H79,2)</f>
        <v>28041.5</v>
      </c>
      <c r="J79" s="188">
        <v>26.05</v>
      </c>
      <c r="K79" s="161">
        <f>ROUND(E79*J79,2)</f>
        <v>4428.5</v>
      </c>
      <c r="L79" s="161">
        <v>21</v>
      </c>
      <c r="M79" s="161">
        <f>G79*(1+L79/100)</f>
        <v>0</v>
      </c>
      <c r="N79" s="161">
        <v>0.378</v>
      </c>
      <c r="O79" s="161">
        <f>ROUND(E79*N79,2)</f>
        <v>64.260000000000005</v>
      </c>
      <c r="P79" s="161">
        <v>0</v>
      </c>
      <c r="Q79" s="161">
        <f>ROUND(E79*P79,2)</f>
        <v>0</v>
      </c>
      <c r="R79" s="161" t="s">
        <v>98</v>
      </c>
      <c r="S79" s="161" t="s">
        <v>161</v>
      </c>
      <c r="T79" s="161" t="s">
        <v>161</v>
      </c>
      <c r="U79" s="138"/>
      <c r="V79" s="138"/>
      <c r="W79" s="138"/>
      <c r="X79" s="138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</row>
    <row r="80" spans="1:60" outlineLevel="1" x14ac:dyDescent="0.2">
      <c r="A80" s="183"/>
      <c r="B80" s="165"/>
      <c r="C80" s="211" t="s">
        <v>375</v>
      </c>
      <c r="D80" s="212"/>
      <c r="E80" s="213">
        <v>170</v>
      </c>
      <c r="F80" s="210"/>
      <c r="G80" s="210"/>
      <c r="H80" s="138"/>
      <c r="I80" s="138"/>
      <c r="J80" s="138"/>
      <c r="K80" s="138"/>
      <c r="L80" s="138"/>
      <c r="M80" s="138"/>
      <c r="N80" s="138"/>
      <c r="O80" s="138"/>
      <c r="P80" s="138"/>
      <c r="Q80" s="138"/>
      <c r="R80" s="138"/>
      <c r="S80" s="138"/>
      <c r="T80" s="138"/>
      <c r="U80" s="138"/>
      <c r="V80" s="138"/>
      <c r="W80" s="138"/>
      <c r="X80" s="138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</row>
    <row r="81" spans="1:60" outlineLevel="1" x14ac:dyDescent="0.2">
      <c r="A81" s="183"/>
      <c r="B81" s="165"/>
      <c r="C81" s="195"/>
      <c r="D81" s="196"/>
      <c r="E81" s="196"/>
      <c r="F81" s="196"/>
      <c r="G81" s="196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</row>
    <row r="82" spans="1:60" ht="22.5" outlineLevel="1" x14ac:dyDescent="0.2">
      <c r="A82" s="184">
        <f>A79+1</f>
        <v>21</v>
      </c>
      <c r="B82" s="185" t="s">
        <v>208</v>
      </c>
      <c r="C82" s="189" t="s">
        <v>209</v>
      </c>
      <c r="D82" s="186" t="s">
        <v>92</v>
      </c>
      <c r="E82" s="187">
        <f>E83</f>
        <v>680</v>
      </c>
      <c r="F82" s="188"/>
      <c r="G82" s="161">
        <f>ROUND(E82*F82,2)</f>
        <v>0</v>
      </c>
      <c r="H82" s="188">
        <v>164.95</v>
      </c>
      <c r="I82" s="161">
        <f>ROUND(E82*H82,2)</f>
        <v>112166</v>
      </c>
      <c r="J82" s="188">
        <v>26.05</v>
      </c>
      <c r="K82" s="161">
        <f>ROUND(E82*J82,2)</f>
        <v>17714</v>
      </c>
      <c r="L82" s="161">
        <v>21</v>
      </c>
      <c r="M82" s="161">
        <f>G82*(1+L82/100)</f>
        <v>0</v>
      </c>
      <c r="N82" s="161">
        <v>0.378</v>
      </c>
      <c r="O82" s="161">
        <f>ROUND(E82*N82,2)</f>
        <v>257.04000000000002</v>
      </c>
      <c r="P82" s="161">
        <v>0</v>
      </c>
      <c r="Q82" s="161">
        <f>ROUND(E82*P82,2)</f>
        <v>0</v>
      </c>
      <c r="R82" s="161" t="s">
        <v>98</v>
      </c>
      <c r="S82" s="161" t="s">
        <v>161</v>
      </c>
      <c r="T82" s="161" t="s">
        <v>161</v>
      </c>
      <c r="U82" s="138"/>
      <c r="V82" s="138"/>
      <c r="W82" s="138"/>
      <c r="X82" s="138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</row>
    <row r="83" spans="1:60" outlineLevel="1" x14ac:dyDescent="0.2">
      <c r="A83" s="183"/>
      <c r="B83" s="165"/>
      <c r="C83" s="211" t="s">
        <v>376</v>
      </c>
      <c r="D83" s="212"/>
      <c r="E83" s="213">
        <f>190+300+20+170</f>
        <v>680</v>
      </c>
      <c r="F83" s="210"/>
      <c r="G83" s="210"/>
      <c r="H83" s="138"/>
      <c r="I83" s="138"/>
      <c r="J83" s="138"/>
      <c r="K83" s="138"/>
      <c r="L83" s="138"/>
      <c r="M83" s="138"/>
      <c r="N83" s="138"/>
      <c r="O83" s="138"/>
      <c r="P83" s="138"/>
      <c r="Q83" s="138"/>
      <c r="R83" s="138"/>
      <c r="S83" s="138"/>
      <c r="T83" s="138"/>
      <c r="U83" s="138"/>
      <c r="V83" s="138"/>
      <c r="W83" s="138"/>
      <c r="X83" s="138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</row>
    <row r="84" spans="1:60" outlineLevel="1" x14ac:dyDescent="0.2">
      <c r="A84" s="183"/>
      <c r="B84" s="165"/>
      <c r="C84" s="195"/>
      <c r="D84" s="196"/>
      <c r="E84" s="196"/>
      <c r="F84" s="196"/>
      <c r="G84" s="196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</row>
    <row r="85" spans="1:60" ht="22.5" outlineLevel="1" x14ac:dyDescent="0.2">
      <c r="A85" s="184">
        <f>A82+1</f>
        <v>22</v>
      </c>
      <c r="B85" s="185" t="s">
        <v>212</v>
      </c>
      <c r="C85" s="189" t="s">
        <v>132</v>
      </c>
      <c r="D85" s="186" t="s">
        <v>92</v>
      </c>
      <c r="E85" s="187">
        <f>E86</f>
        <v>1552</v>
      </c>
      <c r="F85" s="188"/>
      <c r="G85" s="161">
        <f>ROUND(E85*F85,2)</f>
        <v>0</v>
      </c>
      <c r="H85" s="188">
        <v>164.95</v>
      </c>
      <c r="I85" s="161">
        <f>ROUND(E85*H85,2)</f>
        <v>256002.4</v>
      </c>
      <c r="J85" s="188">
        <v>26.05</v>
      </c>
      <c r="K85" s="161">
        <f>ROUND(E85*J85,2)</f>
        <v>40429.599999999999</v>
      </c>
      <c r="L85" s="161">
        <v>21</v>
      </c>
      <c r="M85" s="161">
        <f>G85*(1+L85/100)</f>
        <v>0</v>
      </c>
      <c r="N85" s="161">
        <v>0.378</v>
      </c>
      <c r="O85" s="161">
        <f>ROUND(E85*N85,2)</f>
        <v>586.66</v>
      </c>
      <c r="P85" s="161">
        <v>0</v>
      </c>
      <c r="Q85" s="161">
        <f>ROUND(E85*P85,2)</f>
        <v>0</v>
      </c>
      <c r="R85" s="161" t="s">
        <v>98</v>
      </c>
      <c r="S85" s="161" t="s">
        <v>161</v>
      </c>
      <c r="T85" s="161" t="s">
        <v>161</v>
      </c>
      <c r="U85" s="138"/>
      <c r="V85" s="138"/>
      <c r="W85" s="138"/>
      <c r="X85" s="138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</row>
    <row r="86" spans="1:60" outlineLevel="1" x14ac:dyDescent="0.2">
      <c r="A86" s="183"/>
      <c r="B86" s="165"/>
      <c r="C86" s="211" t="s">
        <v>377</v>
      </c>
      <c r="D86" s="212"/>
      <c r="E86" s="213">
        <f>776*2</f>
        <v>1552</v>
      </c>
      <c r="F86" s="210"/>
      <c r="G86" s="210"/>
      <c r="H86" s="138"/>
      <c r="I86" s="138"/>
      <c r="J86" s="138"/>
      <c r="K86" s="138"/>
      <c r="L86" s="138"/>
      <c r="M86" s="138"/>
      <c r="N86" s="138"/>
      <c r="O86" s="138"/>
      <c r="P86" s="138"/>
      <c r="Q86" s="138"/>
      <c r="R86" s="138"/>
      <c r="S86" s="138"/>
      <c r="T86" s="138"/>
      <c r="U86" s="138"/>
      <c r="V86" s="138"/>
      <c r="W86" s="138"/>
      <c r="X86" s="138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</row>
    <row r="87" spans="1:60" outlineLevel="1" x14ac:dyDescent="0.2">
      <c r="A87" s="183"/>
      <c r="B87" s="165"/>
      <c r="C87" s="195"/>
      <c r="D87" s="196"/>
      <c r="E87" s="196"/>
      <c r="F87" s="196"/>
      <c r="G87" s="196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</row>
    <row r="88" spans="1:60" ht="22.5" outlineLevel="1" x14ac:dyDescent="0.2">
      <c r="A88" s="184">
        <f>A85+1</f>
        <v>23</v>
      </c>
      <c r="B88" s="185" t="s">
        <v>397</v>
      </c>
      <c r="C88" s="189" t="s">
        <v>158</v>
      </c>
      <c r="D88" s="186" t="s">
        <v>92</v>
      </c>
      <c r="E88" s="187">
        <f>E89</f>
        <v>20</v>
      </c>
      <c r="F88" s="188"/>
      <c r="G88" s="161">
        <f>ROUND(E88*F88,2)</f>
        <v>0</v>
      </c>
      <c r="H88" s="188">
        <v>164.95</v>
      </c>
      <c r="I88" s="161">
        <f>ROUND(E88*H88,2)</f>
        <v>3299</v>
      </c>
      <c r="J88" s="188">
        <v>26.05</v>
      </c>
      <c r="K88" s="161">
        <f>ROUND(E88*J88,2)</f>
        <v>521</v>
      </c>
      <c r="L88" s="161">
        <v>21</v>
      </c>
      <c r="M88" s="161">
        <f>G88*(1+L88/100)</f>
        <v>0</v>
      </c>
      <c r="N88" s="161">
        <v>0.378</v>
      </c>
      <c r="O88" s="161">
        <f>ROUND(E88*N88,2)</f>
        <v>7.56</v>
      </c>
      <c r="P88" s="161">
        <v>0</v>
      </c>
      <c r="Q88" s="161">
        <f>ROUND(E88*P88,2)</f>
        <v>0</v>
      </c>
      <c r="R88" s="161" t="s">
        <v>98</v>
      </c>
      <c r="S88" s="161" t="s">
        <v>161</v>
      </c>
      <c r="T88" s="161" t="s">
        <v>161</v>
      </c>
      <c r="U88" s="138"/>
      <c r="V88" s="138"/>
      <c r="W88" s="138"/>
      <c r="X88" s="138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</row>
    <row r="89" spans="1:60" outlineLevel="1" x14ac:dyDescent="0.2">
      <c r="A89" s="183"/>
      <c r="B89" s="165"/>
      <c r="C89" s="211" t="s">
        <v>391</v>
      </c>
      <c r="D89" s="212"/>
      <c r="E89" s="213">
        <v>20</v>
      </c>
      <c r="F89" s="210"/>
      <c r="G89" s="210"/>
      <c r="H89" s="138"/>
      <c r="I89" s="138"/>
      <c r="J89" s="138"/>
      <c r="K89" s="138"/>
      <c r="L89" s="138"/>
      <c r="M89" s="138"/>
      <c r="N89" s="138"/>
      <c r="O89" s="138"/>
      <c r="P89" s="138"/>
      <c r="Q89" s="138"/>
      <c r="R89" s="138"/>
      <c r="S89" s="138"/>
      <c r="T89" s="138"/>
      <c r="U89" s="138"/>
      <c r="V89" s="138"/>
      <c r="W89" s="138"/>
      <c r="X89" s="138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</row>
    <row r="90" spans="1:60" outlineLevel="1" x14ac:dyDescent="0.2">
      <c r="A90" s="183"/>
      <c r="B90" s="165"/>
      <c r="C90" s="195"/>
      <c r="D90" s="196"/>
      <c r="E90" s="196"/>
      <c r="F90" s="196"/>
      <c r="G90" s="196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</row>
    <row r="91" spans="1:60" ht="22.5" outlineLevel="1" x14ac:dyDescent="0.2">
      <c r="A91" s="184">
        <f>A88+1</f>
        <v>24</v>
      </c>
      <c r="B91" s="185" t="s">
        <v>228</v>
      </c>
      <c r="C91" s="189" t="s">
        <v>227</v>
      </c>
      <c r="D91" s="186" t="s">
        <v>92</v>
      </c>
      <c r="E91" s="187">
        <f>E92</f>
        <v>483</v>
      </c>
      <c r="F91" s="188"/>
      <c r="G91" s="161">
        <f>ROUND(E91*F91,2)</f>
        <v>0</v>
      </c>
      <c r="H91" s="188">
        <v>164.95</v>
      </c>
      <c r="I91" s="161">
        <f>ROUND(E91*H91,2)</f>
        <v>79670.850000000006</v>
      </c>
      <c r="J91" s="188">
        <v>26.05</v>
      </c>
      <c r="K91" s="161">
        <f>ROUND(E91*J91,2)</f>
        <v>12582.15</v>
      </c>
      <c r="L91" s="161">
        <v>21</v>
      </c>
      <c r="M91" s="161">
        <f>G91*(1+L91/100)</f>
        <v>0</v>
      </c>
      <c r="N91" s="161">
        <v>0.378</v>
      </c>
      <c r="O91" s="161">
        <f>ROUND(E91*N91,2)</f>
        <v>182.57</v>
      </c>
      <c r="P91" s="161">
        <v>0</v>
      </c>
      <c r="Q91" s="161">
        <f>ROUND(E91*P91,2)</f>
        <v>0</v>
      </c>
      <c r="R91" s="161" t="s">
        <v>98</v>
      </c>
      <c r="S91" s="161" t="s">
        <v>161</v>
      </c>
      <c r="T91" s="161" t="s">
        <v>161</v>
      </c>
      <c r="U91" s="138"/>
      <c r="V91" s="138"/>
      <c r="W91" s="138"/>
      <c r="X91" s="138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</row>
    <row r="92" spans="1:60" outlineLevel="1" x14ac:dyDescent="0.2">
      <c r="A92" s="183"/>
      <c r="B92" s="165"/>
      <c r="C92" s="211" t="s">
        <v>378</v>
      </c>
      <c r="D92" s="212"/>
      <c r="E92" s="213">
        <f>(776+170+20)/2</f>
        <v>483</v>
      </c>
      <c r="F92" s="210"/>
      <c r="G92" s="210"/>
      <c r="H92" s="138"/>
      <c r="I92" s="138"/>
      <c r="J92" s="138"/>
      <c r="K92" s="138"/>
      <c r="L92" s="138"/>
      <c r="M92" s="138"/>
      <c r="N92" s="138"/>
      <c r="O92" s="138"/>
      <c r="P92" s="138"/>
      <c r="Q92" s="138"/>
      <c r="R92" s="138"/>
      <c r="S92" s="138"/>
      <c r="T92" s="138"/>
      <c r="U92" s="138"/>
      <c r="V92" s="138"/>
      <c r="W92" s="138"/>
      <c r="X92" s="138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</row>
    <row r="93" spans="1:60" outlineLevel="1" x14ac:dyDescent="0.2">
      <c r="A93" s="183"/>
      <c r="B93" s="165"/>
      <c r="C93" s="195"/>
      <c r="D93" s="196"/>
      <c r="E93" s="196"/>
      <c r="F93" s="196"/>
      <c r="G93" s="196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</row>
    <row r="94" spans="1:60" ht="22.5" outlineLevel="1" x14ac:dyDescent="0.2">
      <c r="A94" s="184">
        <f>A91+1</f>
        <v>25</v>
      </c>
      <c r="B94" s="185" t="s">
        <v>213</v>
      </c>
      <c r="C94" s="189" t="s">
        <v>214</v>
      </c>
      <c r="D94" s="186" t="s">
        <v>92</v>
      </c>
      <c r="E94" s="187">
        <f>E95</f>
        <v>510</v>
      </c>
      <c r="F94" s="188"/>
      <c r="G94" s="161">
        <f>ROUND(E94*F94,2)</f>
        <v>0</v>
      </c>
      <c r="H94" s="188">
        <v>164.95</v>
      </c>
      <c r="I94" s="161">
        <f>ROUND(E94*H94,2)</f>
        <v>84124.5</v>
      </c>
      <c r="J94" s="188">
        <v>26.05</v>
      </c>
      <c r="K94" s="161">
        <f>ROUND(E94*J94,2)</f>
        <v>13285.5</v>
      </c>
      <c r="L94" s="161">
        <v>21</v>
      </c>
      <c r="M94" s="161">
        <f>G94*(1+L94/100)</f>
        <v>0</v>
      </c>
      <c r="N94" s="161">
        <v>0.378</v>
      </c>
      <c r="O94" s="161">
        <f>ROUND(E94*N94,2)</f>
        <v>192.78</v>
      </c>
      <c r="P94" s="161">
        <v>0</v>
      </c>
      <c r="Q94" s="161">
        <f>ROUND(E94*P94,2)</f>
        <v>0</v>
      </c>
      <c r="R94" s="161" t="s">
        <v>98</v>
      </c>
      <c r="S94" s="161" t="s">
        <v>161</v>
      </c>
      <c r="T94" s="161" t="s">
        <v>161</v>
      </c>
      <c r="U94" s="138"/>
      <c r="V94" s="138"/>
      <c r="W94" s="138"/>
      <c r="X94" s="138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</row>
    <row r="95" spans="1:60" outlineLevel="1" x14ac:dyDescent="0.2">
      <c r="A95" s="183"/>
      <c r="B95" s="165"/>
      <c r="C95" s="211" t="s">
        <v>379</v>
      </c>
      <c r="D95" s="212"/>
      <c r="E95" s="213">
        <f>190+300+20</f>
        <v>510</v>
      </c>
      <c r="F95" s="210"/>
      <c r="G95" s="210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</row>
    <row r="96" spans="1:60" outlineLevel="1" x14ac:dyDescent="0.2">
      <c r="A96" s="183"/>
      <c r="B96" s="165"/>
      <c r="C96" s="195"/>
      <c r="D96" s="196"/>
      <c r="E96" s="196"/>
      <c r="F96" s="196"/>
      <c r="G96" s="196"/>
      <c r="H96" s="138"/>
      <c r="I96" s="138"/>
      <c r="J96" s="138"/>
      <c r="K96" s="138"/>
      <c r="L96" s="138"/>
      <c r="M96" s="138"/>
      <c r="N96" s="138"/>
      <c r="O96" s="138"/>
      <c r="P96" s="138"/>
      <c r="Q96" s="138"/>
      <c r="R96" s="138"/>
      <c r="S96" s="138"/>
      <c r="T96" s="138"/>
      <c r="U96" s="138"/>
      <c r="V96" s="138"/>
      <c r="W96" s="138"/>
      <c r="X96" s="138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</row>
    <row r="97" spans="1:60" ht="22.5" outlineLevel="1" x14ac:dyDescent="0.2">
      <c r="A97" s="184">
        <f>A94+1</f>
        <v>26</v>
      </c>
      <c r="B97" s="185" t="s">
        <v>395</v>
      </c>
      <c r="C97" s="189" t="s">
        <v>396</v>
      </c>
      <c r="D97" s="186" t="s">
        <v>92</v>
      </c>
      <c r="E97" s="187">
        <v>20</v>
      </c>
      <c r="F97" s="188"/>
      <c r="G97" s="161">
        <f>ROUND(E97*F97,2)</f>
        <v>0</v>
      </c>
      <c r="H97" s="188">
        <v>164.95</v>
      </c>
      <c r="I97" s="161">
        <f>ROUND(E97*H97,2)</f>
        <v>3299</v>
      </c>
      <c r="J97" s="188">
        <v>26.05</v>
      </c>
      <c r="K97" s="161">
        <f>ROUND(E97*J97,2)</f>
        <v>521</v>
      </c>
      <c r="L97" s="161">
        <v>21</v>
      </c>
      <c r="M97" s="161">
        <f>G97*(1+L97/100)</f>
        <v>0</v>
      </c>
      <c r="N97" s="161">
        <v>0.378</v>
      </c>
      <c r="O97" s="161">
        <f>ROUND(E97*N97,2)</f>
        <v>7.56</v>
      </c>
      <c r="P97" s="161">
        <v>0</v>
      </c>
      <c r="Q97" s="161">
        <f>ROUND(E97*P97,2)</f>
        <v>0</v>
      </c>
      <c r="R97" s="161" t="s">
        <v>98</v>
      </c>
      <c r="S97" s="161" t="s">
        <v>161</v>
      </c>
      <c r="T97" s="161" t="s">
        <v>161</v>
      </c>
      <c r="U97" s="138"/>
      <c r="V97" s="138"/>
      <c r="W97" s="138"/>
      <c r="X97" s="138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</row>
    <row r="98" spans="1:60" outlineLevel="1" x14ac:dyDescent="0.2">
      <c r="A98" s="183"/>
      <c r="B98" s="165"/>
      <c r="C98" s="211" t="s">
        <v>391</v>
      </c>
      <c r="D98" s="212"/>
      <c r="E98" s="213">
        <v>20</v>
      </c>
      <c r="F98" s="210"/>
      <c r="G98" s="210"/>
      <c r="H98" s="138"/>
      <c r="I98" s="138"/>
      <c r="J98" s="138"/>
      <c r="K98" s="138"/>
      <c r="L98" s="138"/>
      <c r="M98" s="138"/>
      <c r="N98" s="138"/>
      <c r="O98" s="138"/>
      <c r="P98" s="138"/>
      <c r="Q98" s="138"/>
      <c r="R98" s="138"/>
      <c r="S98" s="138"/>
      <c r="T98" s="138"/>
      <c r="U98" s="138"/>
      <c r="V98" s="138"/>
      <c r="W98" s="138"/>
      <c r="X98" s="138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</row>
    <row r="99" spans="1:60" outlineLevel="1" x14ac:dyDescent="0.2">
      <c r="A99" s="183"/>
      <c r="B99" s="165"/>
      <c r="C99" s="195"/>
      <c r="D99" s="196"/>
      <c r="E99" s="196"/>
      <c r="F99" s="196"/>
      <c r="G99" s="196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</row>
    <row r="100" spans="1:60" outlineLevel="1" x14ac:dyDescent="0.2">
      <c r="A100" s="184">
        <f>A97+1</f>
        <v>27</v>
      </c>
      <c r="B100" s="185" t="s">
        <v>216</v>
      </c>
      <c r="C100" s="189" t="s">
        <v>215</v>
      </c>
      <c r="D100" s="186" t="s">
        <v>92</v>
      </c>
      <c r="E100" s="187">
        <v>306</v>
      </c>
      <c r="F100" s="188"/>
      <c r="G100" s="161">
        <f>ROUND(E100*F100,2)</f>
        <v>0</v>
      </c>
      <c r="H100" s="188">
        <v>51.16</v>
      </c>
      <c r="I100" s="161">
        <f>ROUND(E100*H100,2)</f>
        <v>15654.96</v>
      </c>
      <c r="J100" s="188">
        <v>238.34</v>
      </c>
      <c r="K100" s="161">
        <f>ROUND(E100*J100,2)</f>
        <v>72932.039999999994</v>
      </c>
      <c r="L100" s="161">
        <v>21</v>
      </c>
      <c r="M100" s="161">
        <f>G100*(1+L100/100)</f>
        <v>0</v>
      </c>
      <c r="N100" s="161">
        <v>9.2799999999999994E-2</v>
      </c>
      <c r="O100" s="161">
        <f>ROUND(E100*N100,2)</f>
        <v>28.4</v>
      </c>
      <c r="P100" s="161">
        <v>0</v>
      </c>
      <c r="Q100" s="161">
        <f>ROUND(E100*P100,2)</f>
        <v>0</v>
      </c>
      <c r="R100" s="161" t="s">
        <v>98</v>
      </c>
      <c r="S100" s="161" t="s">
        <v>161</v>
      </c>
      <c r="T100" s="161" t="s">
        <v>161</v>
      </c>
      <c r="U100" s="138"/>
      <c r="V100" s="138"/>
      <c r="W100" s="138"/>
      <c r="X100" s="138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</row>
    <row r="101" spans="1:60" ht="24.75" customHeight="1" outlineLevel="1" x14ac:dyDescent="0.2">
      <c r="A101" s="183"/>
      <c r="B101" s="165"/>
      <c r="C101" s="309" t="s">
        <v>236</v>
      </c>
      <c r="D101" s="310"/>
      <c r="E101" s="310"/>
      <c r="F101" s="310"/>
      <c r="G101" s="310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</row>
    <row r="102" spans="1:60" ht="12.75" customHeight="1" outlineLevel="1" x14ac:dyDescent="0.2">
      <c r="A102" s="183"/>
      <c r="B102" s="165"/>
      <c r="C102" s="211" t="s">
        <v>380</v>
      </c>
      <c r="D102" s="212"/>
      <c r="E102" s="213">
        <v>306</v>
      </c>
      <c r="F102" s="210"/>
      <c r="G102" s="210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</row>
    <row r="103" spans="1:60" outlineLevel="1" x14ac:dyDescent="0.2">
      <c r="A103" s="183"/>
      <c r="B103" s="165"/>
      <c r="C103" s="195"/>
      <c r="D103" s="196"/>
      <c r="E103" s="196"/>
      <c r="F103" s="196"/>
      <c r="G103" s="196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</row>
    <row r="104" spans="1:60" outlineLevel="1" x14ac:dyDescent="0.2">
      <c r="A104" s="184">
        <f>A100+1</f>
        <v>28</v>
      </c>
      <c r="B104" s="214" t="s">
        <v>218</v>
      </c>
      <c r="C104" s="215" t="s">
        <v>217</v>
      </c>
      <c r="D104" s="186" t="s">
        <v>92</v>
      </c>
      <c r="E104" s="187">
        <f>319*0.96</f>
        <v>306.24</v>
      </c>
      <c r="F104" s="188"/>
      <c r="G104" s="161">
        <f>ROUND(E104*F104,2)</f>
        <v>0</v>
      </c>
      <c r="H104" s="188">
        <v>51.16</v>
      </c>
      <c r="I104" s="161">
        <f>ROUND(E104*H104,2)</f>
        <v>15667.24</v>
      </c>
      <c r="J104" s="188">
        <v>238.34</v>
      </c>
      <c r="K104" s="161">
        <f>ROUND(E104*J104,2)</f>
        <v>72989.240000000005</v>
      </c>
      <c r="L104" s="161">
        <v>21</v>
      </c>
      <c r="M104" s="161">
        <f>G104*(1+L104/100)</f>
        <v>0</v>
      </c>
      <c r="N104" s="161">
        <v>9.2799999999999994E-2</v>
      </c>
      <c r="O104" s="161">
        <f>ROUND(E104*N104,2)</f>
        <v>28.42</v>
      </c>
      <c r="P104" s="161">
        <v>0</v>
      </c>
      <c r="Q104" s="161">
        <f>ROUND(E104*P104,2)</f>
        <v>0</v>
      </c>
      <c r="R104" s="161" t="s">
        <v>98</v>
      </c>
      <c r="S104" s="161" t="s">
        <v>161</v>
      </c>
      <c r="T104" s="161" t="s">
        <v>161</v>
      </c>
      <c r="U104" s="138"/>
      <c r="V104" s="138"/>
      <c r="W104" s="138"/>
      <c r="X104" s="138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</row>
    <row r="105" spans="1:60" outlineLevel="1" x14ac:dyDescent="0.2">
      <c r="A105" s="183"/>
      <c r="B105" s="165"/>
      <c r="C105" s="195"/>
      <c r="D105" s="196"/>
      <c r="E105" s="196"/>
      <c r="F105" s="196"/>
      <c r="G105" s="196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</row>
    <row r="106" spans="1:60" outlineLevel="1" x14ac:dyDescent="0.2">
      <c r="A106" s="184">
        <f>A104+1</f>
        <v>29</v>
      </c>
      <c r="B106" s="214" t="s">
        <v>219</v>
      </c>
      <c r="C106" s="215" t="s">
        <v>220</v>
      </c>
      <c r="D106" s="186" t="s">
        <v>92</v>
      </c>
      <c r="E106" s="187">
        <f>4*0.96</f>
        <v>3.84</v>
      </c>
      <c r="F106" s="188"/>
      <c r="G106" s="161">
        <f>ROUND(E106*F106,2)</f>
        <v>0</v>
      </c>
      <c r="H106" s="188">
        <v>51.16</v>
      </c>
      <c r="I106" s="161">
        <f>ROUND(E106*H106,2)</f>
        <v>196.45</v>
      </c>
      <c r="J106" s="188">
        <v>238.34</v>
      </c>
      <c r="K106" s="161">
        <f>ROUND(E106*J106,2)</f>
        <v>915.23</v>
      </c>
      <c r="L106" s="161">
        <v>21</v>
      </c>
      <c r="M106" s="161">
        <f>G106*(1+L106/100)</f>
        <v>0</v>
      </c>
      <c r="N106" s="161">
        <v>9.2799999999999994E-2</v>
      </c>
      <c r="O106" s="161">
        <f>ROUND(E106*N106,2)</f>
        <v>0.36</v>
      </c>
      <c r="P106" s="161">
        <v>0</v>
      </c>
      <c r="Q106" s="161">
        <f>ROUND(E106*P106,2)</f>
        <v>0</v>
      </c>
      <c r="R106" s="161" t="s">
        <v>98</v>
      </c>
      <c r="S106" s="161" t="s">
        <v>161</v>
      </c>
      <c r="T106" s="161" t="s">
        <v>161</v>
      </c>
      <c r="U106" s="138"/>
      <c r="V106" s="138"/>
      <c r="W106" s="138"/>
      <c r="X106" s="138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</row>
    <row r="107" spans="1:60" outlineLevel="1" x14ac:dyDescent="0.2">
      <c r="A107" s="183"/>
      <c r="B107" s="165"/>
      <c r="C107" s="195"/>
      <c r="D107" s="196"/>
      <c r="E107" s="196"/>
      <c r="F107" s="196"/>
      <c r="G107" s="196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</row>
    <row r="108" spans="1:60" outlineLevel="1" x14ac:dyDescent="0.2">
      <c r="A108" s="184">
        <f>A106+1</f>
        <v>30</v>
      </c>
      <c r="B108" s="185" t="s">
        <v>222</v>
      </c>
      <c r="C108" s="189" t="s">
        <v>221</v>
      </c>
      <c r="D108" s="186" t="s">
        <v>92</v>
      </c>
      <c r="E108" s="187">
        <f>E110</f>
        <v>280</v>
      </c>
      <c r="F108" s="188"/>
      <c r="G108" s="161">
        <f>ROUND(E108*F108,2)</f>
        <v>0</v>
      </c>
      <c r="H108" s="188">
        <v>51.16</v>
      </c>
      <c r="I108" s="161">
        <f>ROUND(E108*H108,2)</f>
        <v>14324.8</v>
      </c>
      <c r="J108" s="188">
        <v>238.34</v>
      </c>
      <c r="K108" s="161">
        <f>ROUND(E108*J108,2)</f>
        <v>66735.199999999997</v>
      </c>
      <c r="L108" s="161">
        <v>21</v>
      </c>
      <c r="M108" s="161">
        <f>G108*(1+L108/100)</f>
        <v>0</v>
      </c>
      <c r="N108" s="161">
        <v>9.2799999999999994E-2</v>
      </c>
      <c r="O108" s="161">
        <f>ROUND(E108*N108,2)</f>
        <v>25.98</v>
      </c>
      <c r="P108" s="161">
        <v>0</v>
      </c>
      <c r="Q108" s="161">
        <f>ROUND(E108*P108,2)</f>
        <v>0</v>
      </c>
      <c r="R108" s="161" t="s">
        <v>98</v>
      </c>
      <c r="S108" s="161" t="s">
        <v>161</v>
      </c>
      <c r="T108" s="161" t="s">
        <v>161</v>
      </c>
      <c r="U108" s="138"/>
      <c r="V108" s="138"/>
      <c r="W108" s="138"/>
      <c r="X108" s="138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</row>
    <row r="109" spans="1:60" ht="24" customHeight="1" outlineLevel="1" x14ac:dyDescent="0.2">
      <c r="A109" s="183"/>
      <c r="B109" s="165"/>
      <c r="C109" s="309" t="s">
        <v>133</v>
      </c>
      <c r="D109" s="310"/>
      <c r="E109" s="310"/>
      <c r="F109" s="310"/>
      <c r="G109" s="310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</row>
    <row r="110" spans="1:60" outlineLevel="1" x14ac:dyDescent="0.2">
      <c r="A110" s="183"/>
      <c r="B110" s="165"/>
      <c r="C110" s="211" t="s">
        <v>444</v>
      </c>
      <c r="D110" s="212"/>
      <c r="E110" s="213">
        <f>190+90</f>
        <v>280</v>
      </c>
      <c r="F110" s="210"/>
      <c r="G110" s="210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</row>
    <row r="111" spans="1:60" outlineLevel="1" x14ac:dyDescent="0.2">
      <c r="A111" s="183"/>
      <c r="B111" s="165"/>
      <c r="C111" s="195"/>
      <c r="D111" s="196"/>
      <c r="E111" s="196"/>
      <c r="F111" s="196"/>
      <c r="G111" s="196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</row>
    <row r="112" spans="1:60" ht="12.75" customHeight="1" outlineLevel="1" x14ac:dyDescent="0.2">
      <c r="A112" s="184">
        <f>A108+1</f>
        <v>31</v>
      </c>
      <c r="B112" s="214" t="s">
        <v>223</v>
      </c>
      <c r="C112" s="215" t="s">
        <v>225</v>
      </c>
      <c r="D112" s="186" t="s">
        <v>92</v>
      </c>
      <c r="E112" s="187">
        <f>295*0.96</f>
        <v>283.2</v>
      </c>
      <c r="F112" s="188"/>
      <c r="G112" s="161">
        <f>ROUND(E112*F112,2)</f>
        <v>0</v>
      </c>
      <c r="H112" s="188">
        <v>51.16</v>
      </c>
      <c r="I112" s="161">
        <f>ROUND(E112*H112,2)</f>
        <v>14488.51</v>
      </c>
      <c r="J112" s="188">
        <v>238.34</v>
      </c>
      <c r="K112" s="161">
        <f>ROUND(E112*J112,2)</f>
        <v>67497.89</v>
      </c>
      <c r="L112" s="161">
        <v>21</v>
      </c>
      <c r="M112" s="161">
        <f>G112*(1+L112/100)</f>
        <v>0</v>
      </c>
      <c r="N112" s="161">
        <v>9.2799999999999994E-2</v>
      </c>
      <c r="O112" s="161">
        <f>ROUND(E112*N112,2)</f>
        <v>26.28</v>
      </c>
      <c r="P112" s="161">
        <v>0</v>
      </c>
      <c r="Q112" s="161">
        <f>ROUND(E112*P112,2)</f>
        <v>0</v>
      </c>
      <c r="R112" s="161" t="s">
        <v>98</v>
      </c>
      <c r="S112" s="161" t="s">
        <v>161</v>
      </c>
      <c r="T112" s="161" t="s">
        <v>161</v>
      </c>
      <c r="U112" s="138"/>
      <c r="V112" s="138"/>
      <c r="W112" s="138"/>
      <c r="X112" s="138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</row>
    <row r="113" spans="1:60" outlineLevel="1" x14ac:dyDescent="0.2">
      <c r="A113" s="183"/>
      <c r="B113" s="165"/>
      <c r="C113" s="195"/>
      <c r="D113" s="196"/>
      <c r="E113" s="196"/>
      <c r="F113" s="196"/>
      <c r="G113" s="196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</row>
    <row r="114" spans="1:60" outlineLevel="1" x14ac:dyDescent="0.2">
      <c r="A114" s="184">
        <f>A112+1</f>
        <v>32</v>
      </c>
      <c r="B114" s="214" t="s">
        <v>224</v>
      </c>
      <c r="C114" s="215" t="s">
        <v>226</v>
      </c>
      <c r="D114" s="186" t="s">
        <v>92</v>
      </c>
      <c r="E114" s="187">
        <f>21*0.96</f>
        <v>20.16</v>
      </c>
      <c r="F114" s="188"/>
      <c r="G114" s="161">
        <f>ROUND(E114*F114,2)</f>
        <v>0</v>
      </c>
      <c r="H114" s="188">
        <v>51.16</v>
      </c>
      <c r="I114" s="161">
        <f>ROUND(E114*H114,2)</f>
        <v>1031.3900000000001</v>
      </c>
      <c r="J114" s="188">
        <v>238.34</v>
      </c>
      <c r="K114" s="161">
        <f>ROUND(E114*J114,2)</f>
        <v>4804.93</v>
      </c>
      <c r="L114" s="161">
        <v>21</v>
      </c>
      <c r="M114" s="161">
        <f>G114*(1+L114/100)</f>
        <v>0</v>
      </c>
      <c r="N114" s="161">
        <v>9.2799999999999994E-2</v>
      </c>
      <c r="O114" s="161">
        <f>ROUND(E114*N114,2)</f>
        <v>1.87</v>
      </c>
      <c r="P114" s="161">
        <v>0</v>
      </c>
      <c r="Q114" s="161">
        <f>ROUND(E114*P114,2)</f>
        <v>0</v>
      </c>
      <c r="R114" s="161" t="s">
        <v>98</v>
      </c>
      <c r="S114" s="161" t="s">
        <v>161</v>
      </c>
      <c r="T114" s="161" t="s">
        <v>161</v>
      </c>
      <c r="U114" s="138"/>
      <c r="V114" s="138"/>
      <c r="W114" s="138"/>
      <c r="X114" s="138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</row>
    <row r="115" spans="1:60" outlineLevel="1" x14ac:dyDescent="0.2">
      <c r="A115" s="183"/>
      <c r="B115" s="165"/>
      <c r="C115" s="195"/>
      <c r="D115" s="196"/>
      <c r="E115" s="196"/>
      <c r="F115" s="196"/>
      <c r="G115" s="196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</row>
    <row r="116" spans="1:60" outlineLevel="1" x14ac:dyDescent="0.2">
      <c r="A116" s="184">
        <f>A114+1</f>
        <v>33</v>
      </c>
      <c r="B116" s="185" t="s">
        <v>390</v>
      </c>
      <c r="C116" s="189" t="s">
        <v>389</v>
      </c>
      <c r="D116" s="186" t="s">
        <v>92</v>
      </c>
      <c r="E116" s="187">
        <v>20</v>
      </c>
      <c r="F116" s="188"/>
      <c r="G116" s="161">
        <f>ROUND(E116*F116,2)</f>
        <v>0</v>
      </c>
      <c r="H116" s="188">
        <v>51.16</v>
      </c>
      <c r="I116" s="161">
        <f>ROUND(E116*H116,2)</f>
        <v>1023.2</v>
      </c>
      <c r="J116" s="188">
        <v>238.34</v>
      </c>
      <c r="K116" s="161">
        <f>ROUND(E116*J116,2)</f>
        <v>4766.8</v>
      </c>
      <c r="L116" s="161">
        <v>21</v>
      </c>
      <c r="M116" s="161">
        <f>G116*(1+L116/100)</f>
        <v>0</v>
      </c>
      <c r="N116" s="161">
        <v>9.2799999999999994E-2</v>
      </c>
      <c r="O116" s="161">
        <f>ROUND(E116*N116,2)</f>
        <v>1.86</v>
      </c>
      <c r="P116" s="161">
        <v>0</v>
      </c>
      <c r="Q116" s="161">
        <f>ROUND(E116*P116,2)</f>
        <v>0</v>
      </c>
      <c r="R116" s="161" t="s">
        <v>98</v>
      </c>
      <c r="S116" s="161" t="s">
        <v>161</v>
      </c>
      <c r="T116" s="161" t="s">
        <v>161</v>
      </c>
      <c r="U116" s="138"/>
      <c r="V116" s="138"/>
      <c r="W116" s="138"/>
      <c r="X116" s="138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</row>
    <row r="117" spans="1:60" outlineLevel="1" x14ac:dyDescent="0.2">
      <c r="A117" s="183"/>
      <c r="B117" s="165"/>
      <c r="C117" s="309" t="s">
        <v>394</v>
      </c>
      <c r="D117" s="310"/>
      <c r="E117" s="310"/>
      <c r="F117" s="310"/>
      <c r="G117" s="310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</row>
    <row r="118" spans="1:60" outlineLevel="1" x14ac:dyDescent="0.2">
      <c r="A118" s="183"/>
      <c r="B118" s="165"/>
      <c r="C118" s="211" t="s">
        <v>391</v>
      </c>
      <c r="D118" s="212"/>
      <c r="E118" s="213">
        <v>20</v>
      </c>
      <c r="F118" s="210"/>
      <c r="G118" s="210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</row>
    <row r="119" spans="1:60" outlineLevel="1" x14ac:dyDescent="0.2">
      <c r="A119" s="183"/>
      <c r="B119" s="165"/>
      <c r="C119" s="195"/>
      <c r="D119" s="196"/>
      <c r="E119" s="196"/>
      <c r="F119" s="196"/>
      <c r="G119" s="196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</row>
    <row r="120" spans="1:60" outlineLevel="1" x14ac:dyDescent="0.2">
      <c r="A120" s="184">
        <f>A116+1</f>
        <v>34</v>
      </c>
      <c r="B120" s="214" t="s">
        <v>393</v>
      </c>
      <c r="C120" s="215" t="s">
        <v>392</v>
      </c>
      <c r="D120" s="186" t="s">
        <v>92</v>
      </c>
      <c r="E120" s="187">
        <v>20</v>
      </c>
      <c r="F120" s="188"/>
      <c r="G120" s="161">
        <f>ROUND(E120*F120,2)</f>
        <v>0</v>
      </c>
      <c r="H120" s="188">
        <v>51.16</v>
      </c>
      <c r="I120" s="161">
        <f>ROUND(E120*H120,2)</f>
        <v>1023.2</v>
      </c>
      <c r="J120" s="188">
        <v>238.34</v>
      </c>
      <c r="K120" s="161">
        <f>ROUND(E120*J120,2)</f>
        <v>4766.8</v>
      </c>
      <c r="L120" s="161">
        <v>21</v>
      </c>
      <c r="M120" s="161">
        <f>G120*(1+L120/100)</f>
        <v>0</v>
      </c>
      <c r="N120" s="161">
        <v>9.2799999999999994E-2</v>
      </c>
      <c r="O120" s="161">
        <f>ROUND(E120*N120,2)</f>
        <v>1.86</v>
      </c>
      <c r="P120" s="161">
        <v>0</v>
      </c>
      <c r="Q120" s="161">
        <f>ROUND(E120*P120,2)</f>
        <v>0</v>
      </c>
      <c r="R120" s="161" t="s">
        <v>98</v>
      </c>
      <c r="S120" s="161" t="s">
        <v>161</v>
      </c>
      <c r="T120" s="161" t="s">
        <v>161</v>
      </c>
      <c r="U120" s="138"/>
      <c r="V120" s="138"/>
      <c r="W120" s="138"/>
      <c r="X120" s="138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</row>
    <row r="121" spans="1:60" outlineLevel="1" x14ac:dyDescent="0.2">
      <c r="A121" s="183"/>
      <c r="B121" s="165"/>
      <c r="C121" s="195"/>
      <c r="D121" s="196"/>
      <c r="E121" s="196"/>
      <c r="F121" s="196"/>
      <c r="G121" s="196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</row>
    <row r="122" spans="1:60" ht="22.5" outlineLevel="1" x14ac:dyDescent="0.2">
      <c r="A122" s="184">
        <f>A120+1</f>
        <v>35</v>
      </c>
      <c r="B122" s="185" t="s">
        <v>229</v>
      </c>
      <c r="C122" s="189" t="s">
        <v>231</v>
      </c>
      <c r="D122" s="186" t="s">
        <v>92</v>
      </c>
      <c r="E122" s="187">
        <f>E124</f>
        <v>776</v>
      </c>
      <c r="F122" s="188"/>
      <c r="G122" s="161">
        <f>ROUND(E122*F122,2)</f>
        <v>0</v>
      </c>
      <c r="H122" s="138"/>
      <c r="I122" s="138"/>
      <c r="J122" s="138"/>
      <c r="K122" s="138"/>
      <c r="L122" s="161">
        <v>21</v>
      </c>
      <c r="M122" s="161">
        <f>G122*(1+L122/100)</f>
        <v>0</v>
      </c>
      <c r="N122" s="161">
        <v>0.17599999999999999</v>
      </c>
      <c r="O122" s="161">
        <f>ROUND(E122*N122,2)</f>
        <v>136.58000000000001</v>
      </c>
      <c r="P122" s="161">
        <v>0</v>
      </c>
      <c r="Q122" s="161">
        <f>ROUND(E122*P122,2)</f>
        <v>0</v>
      </c>
      <c r="R122" s="161" t="s">
        <v>134</v>
      </c>
      <c r="S122" s="161" t="s">
        <v>161</v>
      </c>
      <c r="T122" s="162" t="s">
        <v>95</v>
      </c>
      <c r="U122" s="138"/>
      <c r="V122" s="138"/>
      <c r="W122" s="138"/>
      <c r="X122" s="138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</row>
    <row r="123" spans="1:60" outlineLevel="1" x14ac:dyDescent="0.2">
      <c r="A123" s="183"/>
      <c r="B123" s="165"/>
      <c r="C123" s="194" t="s">
        <v>230</v>
      </c>
      <c r="D123" s="151"/>
      <c r="E123" s="152"/>
      <c r="F123" s="160"/>
      <c r="G123" s="153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</row>
    <row r="124" spans="1:60" outlineLevel="1" x14ac:dyDescent="0.2">
      <c r="A124" s="183"/>
      <c r="B124" s="165"/>
      <c r="C124" s="211">
        <v>776</v>
      </c>
      <c r="D124" s="212"/>
      <c r="E124" s="213">
        <v>776</v>
      </c>
      <c r="F124" s="210"/>
      <c r="G124" s="210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</row>
    <row r="125" spans="1:60" outlineLevel="1" x14ac:dyDescent="0.2">
      <c r="A125" s="183"/>
      <c r="B125" s="165"/>
      <c r="C125" s="195"/>
      <c r="D125" s="196"/>
      <c r="E125" s="196"/>
      <c r="F125" s="196"/>
      <c r="G125" s="196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</row>
    <row r="126" spans="1:60" ht="22.5" outlineLevel="1" x14ac:dyDescent="0.2">
      <c r="A126" s="184">
        <f>A122+1</f>
        <v>36</v>
      </c>
      <c r="B126" s="185" t="s">
        <v>235</v>
      </c>
      <c r="C126" s="189" t="s">
        <v>234</v>
      </c>
      <c r="D126" s="186" t="s">
        <v>92</v>
      </c>
      <c r="E126" s="187">
        <f>E130</f>
        <v>776</v>
      </c>
      <c r="F126" s="188"/>
      <c r="G126" s="161">
        <f>ROUND(E126*F126,2)</f>
        <v>0</v>
      </c>
      <c r="H126" s="138"/>
      <c r="I126" s="138"/>
      <c r="J126" s="138"/>
      <c r="K126" s="138"/>
      <c r="L126" s="161">
        <v>21</v>
      </c>
      <c r="M126" s="161">
        <f>G126*(1+L126/100)</f>
        <v>0</v>
      </c>
      <c r="N126" s="161">
        <v>0.17599999999999999</v>
      </c>
      <c r="O126" s="161">
        <f>ROUND(E126*N126,2)</f>
        <v>136.58000000000001</v>
      </c>
      <c r="P126" s="161">
        <v>0</v>
      </c>
      <c r="Q126" s="161">
        <f>ROUND(E126*P126,2)</f>
        <v>0</v>
      </c>
      <c r="R126" s="161" t="s">
        <v>134</v>
      </c>
      <c r="S126" s="161" t="s">
        <v>161</v>
      </c>
      <c r="T126" s="162" t="s">
        <v>95</v>
      </c>
      <c r="U126" s="138"/>
      <c r="V126" s="138"/>
      <c r="W126" s="138"/>
      <c r="X126" s="138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</row>
    <row r="127" spans="1:60" outlineLevel="1" x14ac:dyDescent="0.2">
      <c r="A127" s="183"/>
      <c r="B127" s="165"/>
      <c r="C127" s="195"/>
      <c r="D127" s="196"/>
      <c r="E127" s="196"/>
      <c r="F127" s="196"/>
      <c r="G127" s="196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</row>
    <row r="128" spans="1:60" ht="22.5" outlineLevel="1" x14ac:dyDescent="0.2">
      <c r="A128" s="184">
        <f>A126+1</f>
        <v>37</v>
      </c>
      <c r="B128" s="185" t="s">
        <v>233</v>
      </c>
      <c r="C128" s="189" t="s">
        <v>232</v>
      </c>
      <c r="D128" s="186" t="s">
        <v>92</v>
      </c>
      <c r="E128" s="187">
        <f>E130</f>
        <v>776</v>
      </c>
      <c r="F128" s="188"/>
      <c r="G128" s="161">
        <f>ROUND(E128*F128,2)</f>
        <v>0</v>
      </c>
      <c r="H128" s="138"/>
      <c r="I128" s="138"/>
      <c r="J128" s="138"/>
      <c r="K128" s="138"/>
      <c r="L128" s="161">
        <v>21</v>
      </c>
      <c r="M128" s="161">
        <f>G128*(1+L128/100)</f>
        <v>0</v>
      </c>
      <c r="N128" s="161">
        <v>0.17599999999999999</v>
      </c>
      <c r="O128" s="161">
        <f>ROUND(E128*N128,2)</f>
        <v>136.58000000000001</v>
      </c>
      <c r="P128" s="161">
        <v>0</v>
      </c>
      <c r="Q128" s="161">
        <f>ROUND(E128*P128,2)</f>
        <v>0</v>
      </c>
      <c r="R128" s="161" t="s">
        <v>134</v>
      </c>
      <c r="S128" s="161" t="s">
        <v>161</v>
      </c>
      <c r="T128" s="162" t="s">
        <v>95</v>
      </c>
      <c r="U128" s="138"/>
      <c r="V128" s="138"/>
      <c r="W128" s="138"/>
      <c r="X128" s="138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</row>
    <row r="129" spans="1:60" outlineLevel="1" x14ac:dyDescent="0.2">
      <c r="A129" s="183"/>
      <c r="B129" s="165"/>
      <c r="C129" s="194" t="s">
        <v>230</v>
      </c>
      <c r="D129" s="151"/>
      <c r="E129" s="152"/>
      <c r="F129" s="160"/>
      <c r="G129" s="153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</row>
    <row r="130" spans="1:60" outlineLevel="1" x14ac:dyDescent="0.2">
      <c r="A130" s="183"/>
      <c r="B130" s="165"/>
      <c r="C130" s="211">
        <v>776</v>
      </c>
      <c r="D130" s="212"/>
      <c r="E130" s="213">
        <v>776</v>
      </c>
      <c r="F130" s="210"/>
      <c r="G130" s="210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</row>
    <row r="131" spans="1:60" outlineLevel="1" x14ac:dyDescent="0.2">
      <c r="A131" s="183"/>
      <c r="B131" s="165"/>
      <c r="C131" s="195"/>
      <c r="D131" s="196"/>
      <c r="E131" s="196"/>
      <c r="F131" s="196"/>
      <c r="G131" s="196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</row>
    <row r="132" spans="1:60" outlineLevel="1" x14ac:dyDescent="0.2">
      <c r="A132" s="140" t="s">
        <v>88</v>
      </c>
      <c r="B132" s="141" t="s">
        <v>55</v>
      </c>
      <c r="C132" s="147" t="s">
        <v>56</v>
      </c>
      <c r="D132" s="142"/>
      <c r="E132" s="143"/>
      <c r="F132" s="144"/>
      <c r="G132" s="144">
        <f>SUMIF(AG133:AG199,"&lt;&gt;NOR",G133:G199)</f>
        <v>0</v>
      </c>
      <c r="H132" s="144"/>
      <c r="I132" s="144">
        <f>SUM(I170:I199)</f>
        <v>284204.45</v>
      </c>
      <c r="J132" s="144"/>
      <c r="K132" s="144">
        <f>SUM(K170:K199)</f>
        <v>86575.85</v>
      </c>
      <c r="L132" s="144"/>
      <c r="M132" s="144">
        <f>SUMIF(AM133:AM199,"&lt;&gt;NOR",M133:M199)</f>
        <v>0</v>
      </c>
      <c r="N132" s="144"/>
      <c r="O132" s="144">
        <f>SUM(O170:O199)</f>
        <v>172.53</v>
      </c>
      <c r="P132" s="144"/>
      <c r="Q132" s="144">
        <f>SUM(Q170:Q199)</f>
        <v>0</v>
      </c>
      <c r="R132" s="144"/>
      <c r="S132" s="144"/>
      <c r="T132" s="145"/>
      <c r="U132" s="138"/>
      <c r="V132" s="138"/>
      <c r="W132" s="138"/>
      <c r="X132" s="138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</row>
    <row r="133" spans="1:60" outlineLevel="1" x14ac:dyDescent="0.2">
      <c r="A133" s="184">
        <f>A128+1</f>
        <v>38</v>
      </c>
      <c r="B133" s="185" t="s">
        <v>243</v>
      </c>
      <c r="C133" s="189" t="s">
        <v>244</v>
      </c>
      <c r="D133" s="186" t="s">
        <v>91</v>
      </c>
      <c r="E133" s="187">
        <v>3</v>
      </c>
      <c r="F133" s="188"/>
      <c r="G133" s="161">
        <f>ROUND(E133*F133,2)</f>
        <v>0</v>
      </c>
      <c r="H133" s="188">
        <v>339.99</v>
      </c>
      <c r="I133" s="161">
        <f>ROUND(E133*H133,2)</f>
        <v>1019.97</v>
      </c>
      <c r="J133" s="188">
        <v>352.01</v>
      </c>
      <c r="K133" s="161">
        <f>ROUND(E133*J133,2)</f>
        <v>1056.03</v>
      </c>
      <c r="L133" s="161">
        <v>21</v>
      </c>
      <c r="M133" s="161">
        <f>G133*(1+L133/100)</f>
        <v>0</v>
      </c>
      <c r="N133" s="161">
        <v>0.25080000000000002</v>
      </c>
      <c r="O133" s="161">
        <f>ROUND(E133*N133,2)</f>
        <v>0.75</v>
      </c>
      <c r="P133" s="161">
        <v>0</v>
      </c>
      <c r="Q133" s="161">
        <f>ROUND(E133*P133,2)</f>
        <v>0</v>
      </c>
      <c r="R133" s="161" t="s">
        <v>98</v>
      </c>
      <c r="S133" s="161" t="s">
        <v>161</v>
      </c>
      <c r="T133" s="161" t="s">
        <v>161</v>
      </c>
      <c r="U133" s="138"/>
      <c r="V133" s="138"/>
      <c r="W133" s="138"/>
      <c r="X133" s="138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</row>
    <row r="134" spans="1:60" outlineLevel="1" x14ac:dyDescent="0.2">
      <c r="A134" s="183"/>
      <c r="B134" s="165"/>
      <c r="C134" s="322"/>
      <c r="D134" s="323"/>
      <c r="E134" s="323"/>
      <c r="F134" s="323"/>
      <c r="G134" s="323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</row>
    <row r="135" spans="1:60" outlineLevel="1" x14ac:dyDescent="0.2">
      <c r="A135" s="184">
        <f>A133+1</f>
        <v>39</v>
      </c>
      <c r="B135" s="185" t="s">
        <v>243</v>
      </c>
      <c r="C135" s="189" t="s">
        <v>245</v>
      </c>
      <c r="D135" s="186" t="s">
        <v>91</v>
      </c>
      <c r="E135" s="187">
        <v>3</v>
      </c>
      <c r="F135" s="188"/>
      <c r="G135" s="161">
        <f>ROUND(E135*F135,2)</f>
        <v>0</v>
      </c>
      <c r="H135" s="188">
        <v>339.99</v>
      </c>
      <c r="I135" s="161">
        <f>ROUND(E135*H135,2)</f>
        <v>1019.97</v>
      </c>
      <c r="J135" s="188">
        <v>352.01</v>
      </c>
      <c r="K135" s="161">
        <f>ROUND(E135*J135,2)</f>
        <v>1056.03</v>
      </c>
      <c r="L135" s="161">
        <v>21</v>
      </c>
      <c r="M135" s="161">
        <f>G135*(1+L135/100)</f>
        <v>0</v>
      </c>
      <c r="N135" s="161">
        <v>0.25080000000000002</v>
      </c>
      <c r="O135" s="161">
        <f>ROUND(E135*N135,2)</f>
        <v>0.75</v>
      </c>
      <c r="P135" s="161">
        <v>0</v>
      </c>
      <c r="Q135" s="161">
        <f>ROUND(E135*P135,2)</f>
        <v>0</v>
      </c>
      <c r="R135" s="161" t="s">
        <v>98</v>
      </c>
      <c r="S135" s="161" t="s">
        <v>161</v>
      </c>
      <c r="T135" s="161" t="s">
        <v>161</v>
      </c>
      <c r="U135" s="138"/>
      <c r="V135" s="138"/>
      <c r="W135" s="138"/>
      <c r="X135" s="138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</row>
    <row r="136" spans="1:60" outlineLevel="1" x14ac:dyDescent="0.2">
      <c r="A136" s="183"/>
      <c r="B136" s="165"/>
      <c r="C136" s="195"/>
      <c r="D136" s="196"/>
      <c r="E136" s="196"/>
      <c r="F136" s="196"/>
      <c r="G136" s="196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</row>
    <row r="137" spans="1:60" outlineLevel="1" x14ac:dyDescent="0.2">
      <c r="A137" s="184">
        <f>A135+1</f>
        <v>40</v>
      </c>
      <c r="B137" s="214" t="s">
        <v>412</v>
      </c>
      <c r="C137" s="215" t="s">
        <v>415</v>
      </c>
      <c r="D137" s="186" t="s">
        <v>91</v>
      </c>
      <c r="E137" s="187">
        <v>2</v>
      </c>
      <c r="F137" s="188"/>
      <c r="G137" s="161">
        <f>ROUND(E137*F137,2)</f>
        <v>0</v>
      </c>
      <c r="H137" s="188">
        <v>51.16</v>
      </c>
      <c r="I137" s="161">
        <f>ROUND(E137*H137,2)</f>
        <v>102.32</v>
      </c>
      <c r="J137" s="188">
        <v>238.34</v>
      </c>
      <c r="K137" s="161">
        <f>ROUND(E137*J137,2)</f>
        <v>476.68</v>
      </c>
      <c r="L137" s="161">
        <v>21</v>
      </c>
      <c r="M137" s="161">
        <f>G137*(1+L137/100)</f>
        <v>0</v>
      </c>
      <c r="N137" s="161">
        <v>9.2799999999999994E-2</v>
      </c>
      <c r="O137" s="161">
        <f>ROUND(E137*N137,2)</f>
        <v>0.19</v>
      </c>
      <c r="P137" s="161">
        <v>0</v>
      </c>
      <c r="Q137" s="161">
        <f>ROUND(E137*P137,2)</f>
        <v>0</v>
      </c>
      <c r="R137" s="161" t="s">
        <v>98</v>
      </c>
      <c r="S137" s="161" t="s">
        <v>161</v>
      </c>
      <c r="T137" s="161" t="s">
        <v>161</v>
      </c>
      <c r="U137" s="138"/>
      <c r="V137" s="138"/>
      <c r="W137" s="138"/>
      <c r="X137" s="138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</row>
    <row r="138" spans="1:60" outlineLevel="1" x14ac:dyDescent="0.2">
      <c r="A138" s="183"/>
      <c r="B138" s="165"/>
      <c r="C138" s="195"/>
      <c r="D138" s="196"/>
      <c r="E138" s="196"/>
      <c r="F138" s="196"/>
      <c r="G138" s="196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</row>
    <row r="139" spans="1:60" outlineLevel="1" x14ac:dyDescent="0.2">
      <c r="A139" s="184">
        <f>A137+1</f>
        <v>41</v>
      </c>
      <c r="B139" s="214" t="s">
        <v>413</v>
      </c>
      <c r="C139" s="215" t="s">
        <v>414</v>
      </c>
      <c r="D139" s="186" t="s">
        <v>91</v>
      </c>
      <c r="E139" s="187">
        <v>1</v>
      </c>
      <c r="F139" s="188"/>
      <c r="G139" s="161">
        <f>ROUND(E139*F139,2)</f>
        <v>0</v>
      </c>
      <c r="H139" s="188">
        <v>51.16</v>
      </c>
      <c r="I139" s="161">
        <f>ROUND(E139*H139,2)</f>
        <v>51.16</v>
      </c>
      <c r="J139" s="188">
        <v>238.34</v>
      </c>
      <c r="K139" s="161">
        <f>ROUND(E139*J139,2)</f>
        <v>238.34</v>
      </c>
      <c r="L139" s="161">
        <v>21</v>
      </c>
      <c r="M139" s="161">
        <f>G139*(1+L139/100)</f>
        <v>0</v>
      </c>
      <c r="N139" s="161">
        <v>9.2799999999999994E-2</v>
      </c>
      <c r="O139" s="161">
        <f>ROUND(E139*N139,2)</f>
        <v>0.09</v>
      </c>
      <c r="P139" s="161">
        <v>0</v>
      </c>
      <c r="Q139" s="161">
        <f>ROUND(E139*P139,2)</f>
        <v>0</v>
      </c>
      <c r="R139" s="161" t="s">
        <v>98</v>
      </c>
      <c r="S139" s="161" t="s">
        <v>161</v>
      </c>
      <c r="T139" s="161" t="s">
        <v>161</v>
      </c>
      <c r="U139" s="138"/>
      <c r="V139" s="138"/>
      <c r="W139" s="138"/>
      <c r="X139" s="138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</row>
    <row r="140" spans="1:60" outlineLevel="1" x14ac:dyDescent="0.2">
      <c r="A140" s="183"/>
      <c r="B140" s="165"/>
      <c r="C140" s="195"/>
      <c r="D140" s="196"/>
      <c r="E140" s="196"/>
      <c r="F140" s="196"/>
      <c r="G140" s="196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</row>
    <row r="141" spans="1:60" outlineLevel="1" x14ac:dyDescent="0.2">
      <c r="A141" s="184">
        <f>A139+1</f>
        <v>42</v>
      </c>
      <c r="B141" s="214" t="s">
        <v>411</v>
      </c>
      <c r="C141" s="215" t="s">
        <v>417</v>
      </c>
      <c r="D141" s="186" t="s">
        <v>91</v>
      </c>
      <c r="E141" s="187">
        <v>3</v>
      </c>
      <c r="F141" s="188"/>
      <c r="G141" s="161">
        <f>ROUND(E141*F141,2)</f>
        <v>0</v>
      </c>
      <c r="H141" s="188">
        <v>51.16</v>
      </c>
      <c r="I141" s="161">
        <f>ROUND(E141*H141,2)</f>
        <v>153.47999999999999</v>
      </c>
      <c r="J141" s="188">
        <v>238.34</v>
      </c>
      <c r="K141" s="161">
        <f>ROUND(E141*J141,2)</f>
        <v>715.02</v>
      </c>
      <c r="L141" s="161">
        <v>21</v>
      </c>
      <c r="M141" s="161">
        <f>G141*(1+L141/100)</f>
        <v>0</v>
      </c>
      <c r="N141" s="161">
        <v>9.2799999999999994E-2</v>
      </c>
      <c r="O141" s="161">
        <f>ROUND(E141*N141,2)</f>
        <v>0.28000000000000003</v>
      </c>
      <c r="P141" s="161">
        <v>0</v>
      </c>
      <c r="Q141" s="161">
        <f>ROUND(E141*P141,2)</f>
        <v>0</v>
      </c>
      <c r="R141" s="161" t="s">
        <v>98</v>
      </c>
      <c r="S141" s="161" t="s">
        <v>161</v>
      </c>
      <c r="T141" s="161" t="s">
        <v>161</v>
      </c>
      <c r="U141" s="138"/>
      <c r="V141" s="138"/>
      <c r="W141" s="138"/>
      <c r="X141" s="138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</row>
    <row r="142" spans="1:60" outlineLevel="1" x14ac:dyDescent="0.2">
      <c r="A142" s="183"/>
      <c r="B142" s="165"/>
      <c r="C142" s="195"/>
      <c r="D142" s="196"/>
      <c r="E142" s="196"/>
      <c r="F142" s="196"/>
      <c r="G142" s="196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</row>
    <row r="143" spans="1:60" outlineLevel="1" x14ac:dyDescent="0.2">
      <c r="A143" s="184">
        <f>A141+1</f>
        <v>43</v>
      </c>
      <c r="B143" s="214" t="s">
        <v>416</v>
      </c>
      <c r="C143" s="215" t="s">
        <v>418</v>
      </c>
      <c r="D143" s="186" t="s">
        <v>91</v>
      </c>
      <c r="E143" s="187">
        <f>3*2</f>
        <v>6</v>
      </c>
      <c r="F143" s="188"/>
      <c r="G143" s="161">
        <f>ROUND(E143*F143,2)</f>
        <v>0</v>
      </c>
      <c r="H143" s="188">
        <v>51.16</v>
      </c>
      <c r="I143" s="161">
        <f>ROUND(E143*H143,2)</f>
        <v>306.95999999999998</v>
      </c>
      <c r="J143" s="188">
        <v>238.34</v>
      </c>
      <c r="K143" s="161">
        <f>ROUND(E143*J143,2)</f>
        <v>1430.04</v>
      </c>
      <c r="L143" s="161">
        <v>21</v>
      </c>
      <c r="M143" s="161">
        <f>G143*(1+L143/100)</f>
        <v>0</v>
      </c>
      <c r="N143" s="161">
        <v>9.2799999999999994E-2</v>
      </c>
      <c r="O143" s="161">
        <f>ROUND(E143*N143,2)</f>
        <v>0.56000000000000005</v>
      </c>
      <c r="P143" s="161">
        <v>0</v>
      </c>
      <c r="Q143" s="161">
        <f>ROUND(E143*P143,2)</f>
        <v>0</v>
      </c>
      <c r="R143" s="161" t="s">
        <v>98</v>
      </c>
      <c r="S143" s="161" t="s">
        <v>161</v>
      </c>
      <c r="T143" s="161" t="s">
        <v>161</v>
      </c>
      <c r="U143" s="138"/>
      <c r="V143" s="138"/>
      <c r="W143" s="138"/>
      <c r="X143" s="138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</row>
    <row r="144" spans="1:60" outlineLevel="1" x14ac:dyDescent="0.2">
      <c r="A144" s="183"/>
      <c r="B144" s="165"/>
      <c r="C144" s="195"/>
      <c r="D144" s="196"/>
      <c r="E144" s="196"/>
      <c r="F144" s="196"/>
      <c r="G144" s="196"/>
      <c r="H144" s="138"/>
      <c r="I144" s="138"/>
      <c r="J144" s="138"/>
      <c r="K144" s="138"/>
      <c r="L144" s="138"/>
      <c r="M144" s="138"/>
      <c r="N144" s="138"/>
      <c r="O144" s="138"/>
      <c r="P144" s="138"/>
      <c r="Q144" s="138"/>
      <c r="R144" s="138"/>
      <c r="S144" s="138"/>
      <c r="T144" s="138"/>
      <c r="U144" s="138"/>
      <c r="V144" s="138"/>
      <c r="W144" s="138"/>
      <c r="X144" s="138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</row>
    <row r="145" spans="1:60" ht="22.5" outlineLevel="1" x14ac:dyDescent="0.2">
      <c r="A145" s="184">
        <f>A143+1</f>
        <v>44</v>
      </c>
      <c r="B145" s="185" t="s">
        <v>246</v>
      </c>
      <c r="C145" s="189" t="s">
        <v>247</v>
      </c>
      <c r="D145" s="186" t="s">
        <v>91</v>
      </c>
      <c r="E145" s="187">
        <v>1</v>
      </c>
      <c r="F145" s="188"/>
      <c r="G145" s="161">
        <f>ROUND(E145*F145,2)</f>
        <v>0</v>
      </c>
      <c r="H145" s="188">
        <v>339.99</v>
      </c>
      <c r="I145" s="161">
        <f>ROUND(E145*H145,2)</f>
        <v>339.99</v>
      </c>
      <c r="J145" s="188">
        <v>352.01</v>
      </c>
      <c r="K145" s="161">
        <f>ROUND(E145*J145,2)</f>
        <v>352.01</v>
      </c>
      <c r="L145" s="161">
        <v>21</v>
      </c>
      <c r="M145" s="161">
        <f>G145*(1+L145/100)</f>
        <v>0</v>
      </c>
      <c r="N145" s="161">
        <v>0.25080000000000002</v>
      </c>
      <c r="O145" s="161">
        <f>ROUND(E145*N145,2)</f>
        <v>0.25</v>
      </c>
      <c r="P145" s="161">
        <v>0</v>
      </c>
      <c r="Q145" s="161">
        <f>ROUND(E145*P145,2)</f>
        <v>0</v>
      </c>
      <c r="R145" s="161" t="s">
        <v>98</v>
      </c>
      <c r="S145" s="161" t="s">
        <v>161</v>
      </c>
      <c r="T145" s="161" t="s">
        <v>161</v>
      </c>
      <c r="U145" s="138"/>
      <c r="V145" s="138"/>
      <c r="W145" s="138"/>
      <c r="X145" s="138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</row>
    <row r="146" spans="1:60" outlineLevel="1" x14ac:dyDescent="0.2">
      <c r="A146" s="183"/>
      <c r="B146" s="165"/>
      <c r="C146" s="195"/>
      <c r="D146" s="196"/>
      <c r="E146" s="196"/>
      <c r="F146" s="196"/>
      <c r="G146" s="196"/>
      <c r="H146" s="138"/>
      <c r="I146" s="138"/>
      <c r="J146" s="138"/>
      <c r="K146" s="138"/>
      <c r="L146" s="138"/>
      <c r="M146" s="138"/>
      <c r="N146" s="138"/>
      <c r="O146" s="138"/>
      <c r="P146" s="138"/>
      <c r="Q146" s="138"/>
      <c r="R146" s="138"/>
      <c r="S146" s="138"/>
      <c r="T146" s="138"/>
      <c r="U146" s="138"/>
      <c r="V146" s="138"/>
      <c r="W146" s="138"/>
      <c r="X146" s="138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</row>
    <row r="147" spans="1:60" outlineLevel="1" x14ac:dyDescent="0.2">
      <c r="A147" s="184">
        <f>A145+1</f>
        <v>45</v>
      </c>
      <c r="B147" s="185" t="s">
        <v>259</v>
      </c>
      <c r="C147" s="189" t="s">
        <v>258</v>
      </c>
      <c r="D147" s="186" t="s">
        <v>91</v>
      </c>
      <c r="E147" s="187">
        <v>9</v>
      </c>
      <c r="F147" s="188"/>
      <c r="G147" s="161">
        <f>ROUND(E147*F147,2)</f>
        <v>0</v>
      </c>
      <c r="H147" s="188">
        <v>339.99</v>
      </c>
      <c r="I147" s="161">
        <f>ROUND(E147*H147,2)</f>
        <v>3059.91</v>
      </c>
      <c r="J147" s="188">
        <v>352.01</v>
      </c>
      <c r="K147" s="161">
        <f>ROUND(E147*J147,2)</f>
        <v>3168.09</v>
      </c>
      <c r="L147" s="161">
        <v>21</v>
      </c>
      <c r="M147" s="161">
        <f>G147*(1+L147/100)</f>
        <v>0</v>
      </c>
      <c r="N147" s="161">
        <v>0.25080000000000002</v>
      </c>
      <c r="O147" s="161">
        <f>ROUND(E147*N147,2)</f>
        <v>2.2599999999999998</v>
      </c>
      <c r="P147" s="161">
        <v>0</v>
      </c>
      <c r="Q147" s="161">
        <f>ROUND(E147*P147,2)</f>
        <v>0</v>
      </c>
      <c r="R147" s="161" t="s">
        <v>98</v>
      </c>
      <c r="S147" s="161" t="s">
        <v>161</v>
      </c>
      <c r="T147" s="161" t="s">
        <v>161</v>
      </c>
      <c r="U147" s="138"/>
      <c r="V147" s="138"/>
      <c r="W147" s="138"/>
      <c r="X147" s="138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</row>
    <row r="148" spans="1:60" outlineLevel="1" x14ac:dyDescent="0.2">
      <c r="A148" s="183"/>
      <c r="B148" s="165"/>
      <c r="C148" s="195"/>
      <c r="D148" s="196"/>
      <c r="E148" s="196"/>
      <c r="F148" s="196"/>
      <c r="G148" s="196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</row>
    <row r="149" spans="1:60" outlineLevel="1" x14ac:dyDescent="0.2">
      <c r="A149" s="184">
        <f>A147+1</f>
        <v>46</v>
      </c>
      <c r="B149" s="214" t="s">
        <v>248</v>
      </c>
      <c r="C149" s="215" t="s">
        <v>257</v>
      </c>
      <c r="D149" s="186" t="s">
        <v>91</v>
      </c>
      <c r="E149" s="187">
        <f>E147</f>
        <v>9</v>
      </c>
      <c r="F149" s="188"/>
      <c r="G149" s="161">
        <f>ROUND(E149*F149,2)</f>
        <v>0</v>
      </c>
      <c r="H149" s="188">
        <v>339.99</v>
      </c>
      <c r="I149" s="161">
        <f>ROUND(E149*H149,2)</f>
        <v>3059.91</v>
      </c>
      <c r="J149" s="188">
        <v>352.01</v>
      </c>
      <c r="K149" s="161">
        <f>ROUND(E149*J149,2)</f>
        <v>3168.09</v>
      </c>
      <c r="L149" s="161">
        <v>21</v>
      </c>
      <c r="M149" s="161">
        <f>G149*(1+L149/100)</f>
        <v>0</v>
      </c>
      <c r="N149" s="161">
        <v>0.25080000000000002</v>
      </c>
      <c r="O149" s="161">
        <f>ROUND(E149*N149,2)</f>
        <v>2.2599999999999998</v>
      </c>
      <c r="P149" s="161">
        <v>0</v>
      </c>
      <c r="Q149" s="161">
        <f>ROUND(E149*P149,2)</f>
        <v>0</v>
      </c>
      <c r="R149" s="161" t="s">
        <v>98</v>
      </c>
      <c r="S149" s="161" t="s">
        <v>161</v>
      </c>
      <c r="T149" s="161" t="s">
        <v>161</v>
      </c>
      <c r="U149" s="138"/>
      <c r="V149" s="138"/>
      <c r="W149" s="138"/>
      <c r="X149" s="138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</row>
    <row r="150" spans="1:60" outlineLevel="1" x14ac:dyDescent="0.2">
      <c r="A150" s="183"/>
      <c r="B150" s="165"/>
      <c r="C150" s="195"/>
      <c r="D150" s="196"/>
      <c r="E150" s="196"/>
      <c r="F150" s="196"/>
      <c r="G150" s="196"/>
      <c r="H150" s="138"/>
      <c r="I150" s="138"/>
      <c r="J150" s="138"/>
      <c r="K150" s="138"/>
      <c r="L150" s="138"/>
      <c r="M150" s="138"/>
      <c r="N150" s="138"/>
      <c r="O150" s="138"/>
      <c r="P150" s="138"/>
      <c r="Q150" s="138"/>
      <c r="R150" s="138"/>
      <c r="S150" s="138"/>
      <c r="T150" s="138"/>
      <c r="U150" s="138"/>
      <c r="V150" s="138"/>
      <c r="W150" s="138"/>
      <c r="X150" s="138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</row>
    <row r="151" spans="1:60" outlineLevel="1" x14ac:dyDescent="0.2">
      <c r="A151" s="184">
        <f>A149+1</f>
        <v>47</v>
      </c>
      <c r="B151" s="185" t="s">
        <v>249</v>
      </c>
      <c r="C151" s="189" t="s">
        <v>250</v>
      </c>
      <c r="D151" s="186" t="s">
        <v>91</v>
      </c>
      <c r="E151" s="187">
        <f>E147</f>
        <v>9</v>
      </c>
      <c r="F151" s="188"/>
      <c r="G151" s="161">
        <f>ROUND(E151*F151,2)</f>
        <v>0</v>
      </c>
      <c r="H151" s="188">
        <v>339.99</v>
      </c>
      <c r="I151" s="161">
        <f>ROUND(E151*H151,2)</f>
        <v>3059.91</v>
      </c>
      <c r="J151" s="188">
        <v>352.01</v>
      </c>
      <c r="K151" s="161">
        <f>ROUND(E151*J151,2)</f>
        <v>3168.09</v>
      </c>
      <c r="L151" s="161">
        <v>21</v>
      </c>
      <c r="M151" s="161">
        <f>G151*(1+L151/100)</f>
        <v>0</v>
      </c>
      <c r="N151" s="161">
        <v>0.25080000000000002</v>
      </c>
      <c r="O151" s="161">
        <f>ROUND(E151*N151,2)</f>
        <v>2.2599999999999998</v>
      </c>
      <c r="P151" s="161">
        <v>0</v>
      </c>
      <c r="Q151" s="161">
        <f>ROUND(E151*P151,2)</f>
        <v>0</v>
      </c>
      <c r="R151" s="161" t="s">
        <v>98</v>
      </c>
      <c r="S151" s="161" t="s">
        <v>161</v>
      </c>
      <c r="T151" s="161" t="s">
        <v>161</v>
      </c>
      <c r="U151" s="138"/>
      <c r="V151" s="138"/>
      <c r="W151" s="138"/>
      <c r="X151" s="138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</row>
    <row r="152" spans="1:60" outlineLevel="1" x14ac:dyDescent="0.2">
      <c r="A152" s="183"/>
      <c r="B152" s="165"/>
      <c r="C152" s="195"/>
      <c r="D152" s="196"/>
      <c r="E152" s="196"/>
      <c r="F152" s="196"/>
      <c r="G152" s="196"/>
      <c r="H152" s="138"/>
      <c r="I152" s="138"/>
      <c r="J152" s="138"/>
      <c r="K152" s="138"/>
      <c r="L152" s="138"/>
      <c r="M152" s="138"/>
      <c r="N152" s="138"/>
      <c r="O152" s="138"/>
      <c r="P152" s="138"/>
      <c r="Q152" s="138"/>
      <c r="R152" s="138"/>
      <c r="S152" s="138"/>
      <c r="T152" s="138"/>
      <c r="U152" s="138"/>
      <c r="V152" s="138"/>
      <c r="W152" s="138"/>
      <c r="X152" s="138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</row>
    <row r="153" spans="1:60" outlineLevel="1" x14ac:dyDescent="0.2">
      <c r="A153" s="184">
        <f>A151+1</f>
        <v>48</v>
      </c>
      <c r="B153" s="214" t="s">
        <v>251</v>
      </c>
      <c r="C153" s="215" t="s">
        <v>256</v>
      </c>
      <c r="D153" s="186" t="s">
        <v>91</v>
      </c>
      <c r="E153" s="187">
        <f>E151</f>
        <v>9</v>
      </c>
      <c r="F153" s="188"/>
      <c r="G153" s="161">
        <f>ROUND(E153*F153,2)</f>
        <v>0</v>
      </c>
      <c r="H153" s="188">
        <v>339.99</v>
      </c>
      <c r="I153" s="161">
        <f>ROUND(E153*H153,2)</f>
        <v>3059.91</v>
      </c>
      <c r="J153" s="188">
        <v>352.01</v>
      </c>
      <c r="K153" s="161">
        <f>ROUND(E153*J153,2)</f>
        <v>3168.09</v>
      </c>
      <c r="L153" s="161">
        <v>21</v>
      </c>
      <c r="M153" s="161">
        <f>G153*(1+L153/100)</f>
        <v>0</v>
      </c>
      <c r="N153" s="161">
        <v>0.25080000000000002</v>
      </c>
      <c r="O153" s="161">
        <f>ROUND(E153*N153,2)</f>
        <v>2.2599999999999998</v>
      </c>
      <c r="P153" s="161">
        <v>0</v>
      </c>
      <c r="Q153" s="161">
        <f>ROUND(E153*P153,2)</f>
        <v>0</v>
      </c>
      <c r="R153" s="161" t="s">
        <v>98</v>
      </c>
      <c r="S153" s="161" t="s">
        <v>161</v>
      </c>
      <c r="T153" s="161" t="s">
        <v>161</v>
      </c>
      <c r="U153" s="138"/>
      <c r="V153" s="138"/>
      <c r="W153" s="138"/>
      <c r="X153" s="138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</row>
    <row r="154" spans="1:60" outlineLevel="1" x14ac:dyDescent="0.2">
      <c r="A154" s="183"/>
      <c r="B154" s="165"/>
      <c r="C154" s="195"/>
      <c r="D154" s="196"/>
      <c r="E154" s="196"/>
      <c r="F154" s="196"/>
      <c r="G154" s="196"/>
      <c r="H154" s="138"/>
      <c r="I154" s="138"/>
      <c r="J154" s="138"/>
      <c r="K154" s="138"/>
      <c r="L154" s="138"/>
      <c r="M154" s="138"/>
      <c r="N154" s="138"/>
      <c r="O154" s="138"/>
      <c r="P154" s="138"/>
      <c r="Q154" s="138"/>
      <c r="R154" s="138"/>
      <c r="S154" s="138"/>
      <c r="T154" s="138"/>
      <c r="U154" s="138"/>
      <c r="V154" s="138"/>
      <c r="W154" s="138"/>
      <c r="X154" s="138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</row>
    <row r="155" spans="1:60" outlineLevel="1" x14ac:dyDescent="0.2">
      <c r="A155" s="184">
        <f>A153+1</f>
        <v>49</v>
      </c>
      <c r="B155" s="185" t="s">
        <v>252</v>
      </c>
      <c r="C155" s="189" t="s">
        <v>254</v>
      </c>
      <c r="D155" s="186" t="s">
        <v>91</v>
      </c>
      <c r="E155" s="187">
        <f>E147</f>
        <v>9</v>
      </c>
      <c r="F155" s="188"/>
      <c r="G155" s="161">
        <f>ROUND(E155*F155,2)</f>
        <v>0</v>
      </c>
      <c r="H155" s="188">
        <v>339.99</v>
      </c>
      <c r="I155" s="161">
        <f>ROUND(E155*H155,2)</f>
        <v>3059.91</v>
      </c>
      <c r="J155" s="188">
        <v>352.01</v>
      </c>
      <c r="K155" s="161">
        <f>ROUND(E155*J155,2)</f>
        <v>3168.09</v>
      </c>
      <c r="L155" s="161">
        <v>21</v>
      </c>
      <c r="M155" s="161">
        <f>G155*(1+L155/100)</f>
        <v>0</v>
      </c>
      <c r="N155" s="161">
        <v>0.25080000000000002</v>
      </c>
      <c r="O155" s="161">
        <f>ROUND(E155*N155,2)</f>
        <v>2.2599999999999998</v>
      </c>
      <c r="P155" s="161">
        <v>0</v>
      </c>
      <c r="Q155" s="161">
        <f>ROUND(E155*P155,2)</f>
        <v>0</v>
      </c>
      <c r="R155" s="161" t="s">
        <v>98</v>
      </c>
      <c r="S155" s="161" t="s">
        <v>161</v>
      </c>
      <c r="T155" s="161" t="s">
        <v>161</v>
      </c>
      <c r="U155" s="138"/>
      <c r="V155" s="138"/>
      <c r="W155" s="138"/>
      <c r="X155" s="138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</row>
    <row r="156" spans="1:60" outlineLevel="1" x14ac:dyDescent="0.2">
      <c r="A156" s="183"/>
      <c r="B156" s="165"/>
      <c r="C156" s="195"/>
      <c r="D156" s="196"/>
      <c r="E156" s="196"/>
      <c r="F156" s="196"/>
      <c r="G156" s="196"/>
      <c r="H156" s="138"/>
      <c r="I156" s="138"/>
      <c r="J156" s="138"/>
      <c r="K156" s="138"/>
      <c r="L156" s="138"/>
      <c r="M156" s="138"/>
      <c r="N156" s="138"/>
      <c r="O156" s="138"/>
      <c r="P156" s="138"/>
      <c r="Q156" s="138"/>
      <c r="R156" s="138"/>
      <c r="S156" s="138"/>
      <c r="T156" s="138"/>
      <c r="U156" s="138"/>
      <c r="V156" s="138"/>
      <c r="W156" s="138"/>
      <c r="X156" s="138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</row>
    <row r="157" spans="1:60" outlineLevel="1" x14ac:dyDescent="0.2">
      <c r="A157" s="184">
        <f>A155+1</f>
        <v>50</v>
      </c>
      <c r="B157" s="214" t="s">
        <v>253</v>
      </c>
      <c r="C157" s="215" t="s">
        <v>255</v>
      </c>
      <c r="D157" s="186" t="s">
        <v>91</v>
      </c>
      <c r="E157" s="187">
        <f>E155</f>
        <v>9</v>
      </c>
      <c r="F157" s="188"/>
      <c r="G157" s="161">
        <f>ROUND(E157*F157,2)</f>
        <v>0</v>
      </c>
      <c r="H157" s="188">
        <v>339.99</v>
      </c>
      <c r="I157" s="161">
        <f>ROUND(E157*H157,2)</f>
        <v>3059.91</v>
      </c>
      <c r="J157" s="188">
        <v>352.01</v>
      </c>
      <c r="K157" s="161">
        <f>ROUND(E157*J157,2)</f>
        <v>3168.09</v>
      </c>
      <c r="L157" s="161">
        <v>21</v>
      </c>
      <c r="M157" s="161">
        <f>G157*(1+L157/100)</f>
        <v>0</v>
      </c>
      <c r="N157" s="161">
        <v>0.25080000000000002</v>
      </c>
      <c r="O157" s="161">
        <f>ROUND(E157*N157,2)</f>
        <v>2.2599999999999998</v>
      </c>
      <c r="P157" s="161">
        <v>0</v>
      </c>
      <c r="Q157" s="161">
        <f>ROUND(E157*P157,2)</f>
        <v>0</v>
      </c>
      <c r="R157" s="161" t="s">
        <v>98</v>
      </c>
      <c r="S157" s="161" t="s">
        <v>161</v>
      </c>
      <c r="T157" s="161" t="s">
        <v>161</v>
      </c>
      <c r="U157" s="138"/>
      <c r="V157" s="138"/>
      <c r="W157" s="138"/>
      <c r="X157" s="138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</row>
    <row r="158" spans="1:60" outlineLevel="1" x14ac:dyDescent="0.2">
      <c r="A158" s="183"/>
      <c r="B158" s="165"/>
      <c r="C158" s="195"/>
      <c r="D158" s="196"/>
      <c r="E158" s="196"/>
      <c r="F158" s="196"/>
      <c r="G158" s="196"/>
      <c r="H158" s="138"/>
      <c r="I158" s="138"/>
      <c r="J158" s="138"/>
      <c r="K158" s="138"/>
      <c r="L158" s="138"/>
      <c r="M158" s="138"/>
      <c r="N158" s="138"/>
      <c r="O158" s="138"/>
      <c r="P158" s="138"/>
      <c r="Q158" s="138"/>
      <c r="R158" s="138"/>
      <c r="S158" s="138"/>
      <c r="T158" s="138"/>
      <c r="U158" s="138"/>
      <c r="V158" s="138"/>
      <c r="W158" s="138"/>
      <c r="X158" s="138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</row>
    <row r="159" spans="1:60" outlineLevel="1" x14ac:dyDescent="0.2">
      <c r="A159" s="184">
        <f>A157+1</f>
        <v>51</v>
      </c>
      <c r="B159" s="185" t="s">
        <v>262</v>
      </c>
      <c r="C159" s="189" t="s">
        <v>260</v>
      </c>
      <c r="D159" s="186" t="s">
        <v>91</v>
      </c>
      <c r="E159" s="187">
        <f>E147</f>
        <v>9</v>
      </c>
      <c r="F159" s="188"/>
      <c r="G159" s="161">
        <f>ROUND(E159*F159,2)</f>
        <v>0</v>
      </c>
      <c r="H159" s="188">
        <v>339.99</v>
      </c>
      <c r="I159" s="161">
        <f>ROUND(E159*H159,2)</f>
        <v>3059.91</v>
      </c>
      <c r="J159" s="188">
        <v>352.01</v>
      </c>
      <c r="K159" s="161">
        <f>ROUND(E159*J159,2)</f>
        <v>3168.09</v>
      </c>
      <c r="L159" s="161">
        <v>21</v>
      </c>
      <c r="M159" s="161">
        <f>G159*(1+L159/100)</f>
        <v>0</v>
      </c>
      <c r="N159" s="161">
        <v>0.25080000000000002</v>
      </c>
      <c r="O159" s="161">
        <f>ROUND(E159*N159,2)</f>
        <v>2.2599999999999998</v>
      </c>
      <c r="P159" s="161">
        <v>0</v>
      </c>
      <c r="Q159" s="161">
        <f>ROUND(E159*P159,2)</f>
        <v>0</v>
      </c>
      <c r="R159" s="161" t="s">
        <v>98</v>
      </c>
      <c r="S159" s="161" t="s">
        <v>161</v>
      </c>
      <c r="T159" s="161" t="s">
        <v>161</v>
      </c>
      <c r="U159" s="138"/>
      <c r="V159" s="138"/>
      <c r="W159" s="138"/>
      <c r="X159" s="138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</row>
    <row r="160" spans="1:60" outlineLevel="1" x14ac:dyDescent="0.2">
      <c r="A160" s="183"/>
      <c r="B160" s="165"/>
      <c r="C160" s="195"/>
      <c r="D160" s="196"/>
      <c r="E160" s="196"/>
      <c r="F160" s="196"/>
      <c r="G160" s="196"/>
      <c r="H160" s="138"/>
      <c r="I160" s="138"/>
      <c r="J160" s="138"/>
      <c r="K160" s="138"/>
      <c r="L160" s="138"/>
      <c r="M160" s="138"/>
      <c r="N160" s="138"/>
      <c r="O160" s="138"/>
      <c r="P160" s="138"/>
      <c r="Q160" s="138"/>
      <c r="R160" s="138"/>
      <c r="S160" s="138"/>
      <c r="T160" s="138"/>
      <c r="U160" s="138"/>
      <c r="V160" s="138"/>
      <c r="W160" s="138"/>
      <c r="X160" s="138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</row>
    <row r="161" spans="1:60" outlineLevel="1" x14ac:dyDescent="0.2">
      <c r="A161" s="184">
        <f>A159+1</f>
        <v>52</v>
      </c>
      <c r="B161" s="214" t="s">
        <v>343</v>
      </c>
      <c r="C161" s="215" t="s">
        <v>261</v>
      </c>
      <c r="D161" s="186" t="s">
        <v>91</v>
      </c>
      <c r="E161" s="187">
        <f>E147</f>
        <v>9</v>
      </c>
      <c r="F161" s="188"/>
      <c r="G161" s="161">
        <f>ROUND(E161*F161,2)</f>
        <v>0</v>
      </c>
      <c r="H161" s="188">
        <v>339.99</v>
      </c>
      <c r="I161" s="161">
        <f>ROUND(E161*H161,2)</f>
        <v>3059.91</v>
      </c>
      <c r="J161" s="188">
        <v>352.01</v>
      </c>
      <c r="K161" s="161">
        <f>ROUND(E161*J161,2)</f>
        <v>3168.09</v>
      </c>
      <c r="L161" s="161">
        <v>21</v>
      </c>
      <c r="M161" s="161">
        <f>G161*(1+L161/100)</f>
        <v>0</v>
      </c>
      <c r="N161" s="161">
        <v>0.25080000000000002</v>
      </c>
      <c r="O161" s="161">
        <f>ROUND(E161*N161,2)</f>
        <v>2.2599999999999998</v>
      </c>
      <c r="P161" s="161">
        <v>0</v>
      </c>
      <c r="Q161" s="161">
        <f>ROUND(E161*P161,2)</f>
        <v>0</v>
      </c>
      <c r="R161" s="161" t="s">
        <v>98</v>
      </c>
      <c r="S161" s="161" t="s">
        <v>161</v>
      </c>
      <c r="T161" s="161" t="s">
        <v>161</v>
      </c>
      <c r="U161" s="138"/>
      <c r="V161" s="138"/>
      <c r="W161" s="138"/>
      <c r="X161" s="138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</row>
    <row r="162" spans="1:60" outlineLevel="1" x14ac:dyDescent="0.2">
      <c r="A162" s="183"/>
      <c r="B162" s="165"/>
      <c r="C162" s="198" t="s">
        <v>162</v>
      </c>
      <c r="D162" s="192"/>
      <c r="E162" s="193"/>
      <c r="F162" s="191"/>
      <c r="G162" s="138"/>
      <c r="H162" s="190"/>
      <c r="I162" s="138"/>
      <c r="J162" s="190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</row>
    <row r="163" spans="1:60" outlineLevel="1" x14ac:dyDescent="0.2">
      <c r="A163" s="183"/>
      <c r="B163" s="165"/>
      <c r="C163" s="195"/>
      <c r="D163" s="196"/>
      <c r="E163" s="196"/>
      <c r="F163" s="196"/>
      <c r="G163" s="196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</row>
    <row r="164" spans="1:60" outlineLevel="1" x14ac:dyDescent="0.2">
      <c r="A164" s="184">
        <f>A161+1</f>
        <v>53</v>
      </c>
      <c r="B164" s="185" t="s">
        <v>263</v>
      </c>
      <c r="C164" s="189" t="s">
        <v>264</v>
      </c>
      <c r="D164" s="186" t="s">
        <v>91</v>
      </c>
      <c r="E164" s="187">
        <v>9</v>
      </c>
      <c r="F164" s="188"/>
      <c r="G164" s="161">
        <f>ROUND(E164*F164,2)</f>
        <v>0</v>
      </c>
      <c r="H164" s="188">
        <v>339.99</v>
      </c>
      <c r="I164" s="161">
        <f>ROUND(E164*H164,2)</f>
        <v>3059.91</v>
      </c>
      <c r="J164" s="188">
        <v>352.01</v>
      </c>
      <c r="K164" s="161">
        <f>ROUND(E164*J164,2)</f>
        <v>3168.09</v>
      </c>
      <c r="L164" s="161">
        <v>21</v>
      </c>
      <c r="M164" s="161">
        <f>G164*(1+L164/100)</f>
        <v>0</v>
      </c>
      <c r="N164" s="161">
        <v>0.25080000000000002</v>
      </c>
      <c r="O164" s="161">
        <f>ROUND(E164*N164,2)</f>
        <v>2.2599999999999998</v>
      </c>
      <c r="P164" s="161">
        <v>0</v>
      </c>
      <c r="Q164" s="161">
        <f>ROUND(E164*P164,2)</f>
        <v>0</v>
      </c>
      <c r="R164" s="161" t="s">
        <v>98</v>
      </c>
      <c r="S164" s="161" t="s">
        <v>161</v>
      </c>
      <c r="T164" s="161" t="s">
        <v>161</v>
      </c>
      <c r="U164" s="138"/>
      <c r="V164" s="138"/>
      <c r="W164" s="138"/>
      <c r="X164" s="138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</row>
    <row r="165" spans="1:60" outlineLevel="1" x14ac:dyDescent="0.2">
      <c r="A165" s="183"/>
      <c r="B165" s="165"/>
      <c r="C165" s="195"/>
      <c r="D165" s="196"/>
      <c r="E165" s="196"/>
      <c r="F165" s="196"/>
      <c r="G165" s="196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</row>
    <row r="166" spans="1:60" ht="22.5" outlineLevel="1" x14ac:dyDescent="0.2">
      <c r="A166" s="184">
        <f>A164+1</f>
        <v>54</v>
      </c>
      <c r="B166" s="185" t="s">
        <v>266</v>
      </c>
      <c r="C166" s="189" t="s">
        <v>265</v>
      </c>
      <c r="D166" s="186" t="s">
        <v>104</v>
      </c>
      <c r="E166" s="187">
        <v>2</v>
      </c>
      <c r="F166" s="188"/>
      <c r="G166" s="161">
        <f>ROUND(E166*F166,2)</f>
        <v>0</v>
      </c>
      <c r="H166" s="188">
        <v>339.99</v>
      </c>
      <c r="I166" s="161">
        <f>ROUND(E166*H166,2)</f>
        <v>679.98</v>
      </c>
      <c r="J166" s="188">
        <v>352.01</v>
      </c>
      <c r="K166" s="161">
        <f>ROUND(E166*J166,2)</f>
        <v>704.02</v>
      </c>
      <c r="L166" s="161">
        <v>21</v>
      </c>
      <c r="M166" s="161">
        <f>G166*(1+L166/100)</f>
        <v>0</v>
      </c>
      <c r="N166" s="161">
        <v>0.25080000000000002</v>
      </c>
      <c r="O166" s="161">
        <f>ROUND(E166*N166,2)</f>
        <v>0.5</v>
      </c>
      <c r="P166" s="161">
        <v>0</v>
      </c>
      <c r="Q166" s="161">
        <f>ROUND(E166*P166,2)</f>
        <v>0</v>
      </c>
      <c r="R166" s="161" t="s">
        <v>98</v>
      </c>
      <c r="S166" s="161" t="s">
        <v>161</v>
      </c>
      <c r="T166" s="161" t="s">
        <v>161</v>
      </c>
      <c r="U166" s="138"/>
      <c r="V166" s="138"/>
      <c r="W166" s="138"/>
      <c r="X166" s="138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</row>
    <row r="167" spans="1:60" outlineLevel="1" x14ac:dyDescent="0.2">
      <c r="A167" s="183"/>
      <c r="B167" s="165"/>
      <c r="C167" s="195"/>
      <c r="D167" s="196"/>
      <c r="E167" s="196"/>
      <c r="F167" s="196"/>
      <c r="G167" s="196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</row>
    <row r="168" spans="1:60" ht="22.5" outlineLevel="1" x14ac:dyDescent="0.2">
      <c r="A168" s="184">
        <f>A166+1</f>
        <v>55</v>
      </c>
      <c r="B168" s="185" t="s">
        <v>268</v>
      </c>
      <c r="C168" s="189" t="s">
        <v>267</v>
      </c>
      <c r="D168" s="186" t="s">
        <v>102</v>
      </c>
      <c r="E168" s="187">
        <v>15</v>
      </c>
      <c r="F168" s="188"/>
      <c r="G168" s="161">
        <f>ROUND(E168*F168,2)</f>
        <v>0</v>
      </c>
      <c r="H168" s="188">
        <v>339.99</v>
      </c>
      <c r="I168" s="161">
        <f>ROUND(E168*H168,2)</f>
        <v>5099.8500000000004</v>
      </c>
      <c r="J168" s="188">
        <v>352.01</v>
      </c>
      <c r="K168" s="161">
        <f>ROUND(E168*J168,2)</f>
        <v>5280.15</v>
      </c>
      <c r="L168" s="161">
        <v>21</v>
      </c>
      <c r="M168" s="161">
        <f>G168*(1+L168/100)</f>
        <v>0</v>
      </c>
      <c r="N168" s="161">
        <v>0.25080000000000002</v>
      </c>
      <c r="O168" s="161">
        <f>ROUND(E168*N168,2)</f>
        <v>3.76</v>
      </c>
      <c r="P168" s="161">
        <v>0</v>
      </c>
      <c r="Q168" s="161">
        <f>ROUND(E168*P168,2)</f>
        <v>0</v>
      </c>
      <c r="R168" s="161" t="s">
        <v>98</v>
      </c>
      <c r="S168" s="161" t="s">
        <v>161</v>
      </c>
      <c r="T168" s="161" t="s">
        <v>161</v>
      </c>
      <c r="U168" s="138"/>
      <c r="V168" s="138"/>
      <c r="W168" s="138"/>
      <c r="X168" s="138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</row>
    <row r="169" spans="1:60" outlineLevel="1" x14ac:dyDescent="0.2">
      <c r="A169" s="183"/>
      <c r="B169" s="165"/>
      <c r="C169" s="195"/>
      <c r="D169" s="196"/>
      <c r="E169" s="196"/>
      <c r="F169" s="196"/>
      <c r="G169" s="196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</row>
    <row r="170" spans="1:60" outlineLevel="1" x14ac:dyDescent="0.2">
      <c r="A170" s="184">
        <f>A168+1</f>
        <v>56</v>
      </c>
      <c r="B170" s="185" t="s">
        <v>283</v>
      </c>
      <c r="C170" s="189" t="s">
        <v>281</v>
      </c>
      <c r="D170" s="186" t="s">
        <v>102</v>
      </c>
      <c r="E170" s="187">
        <f>E172</f>
        <v>500</v>
      </c>
      <c r="F170" s="188"/>
      <c r="G170" s="161">
        <f>ROUND(E170*F170,2)</f>
        <v>0</v>
      </c>
      <c r="H170" s="188">
        <v>320.33</v>
      </c>
      <c r="I170" s="161">
        <f>ROUND(E170*H170,2)</f>
        <v>160165</v>
      </c>
      <c r="J170" s="188">
        <v>128.16999999999999</v>
      </c>
      <c r="K170" s="161">
        <f>ROUND(E170*J170,2)</f>
        <v>64085</v>
      </c>
      <c r="L170" s="161">
        <v>21</v>
      </c>
      <c r="M170" s="161">
        <f>G170*(1+L170/100)</f>
        <v>0</v>
      </c>
      <c r="N170" s="161">
        <v>0.26980999999999999</v>
      </c>
      <c r="O170" s="161">
        <f>ROUND(E170*N170,2)</f>
        <v>134.91</v>
      </c>
      <c r="P170" s="161">
        <v>0</v>
      </c>
      <c r="Q170" s="161">
        <f>ROUND(E170*P170,2)</f>
        <v>0</v>
      </c>
      <c r="R170" s="161" t="s">
        <v>98</v>
      </c>
      <c r="S170" s="161" t="s">
        <v>161</v>
      </c>
      <c r="T170" s="161" t="s">
        <v>161</v>
      </c>
      <c r="U170" s="138"/>
      <c r="V170" s="138"/>
      <c r="W170" s="138"/>
      <c r="X170" s="138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</row>
    <row r="171" spans="1:60" outlineLevel="1" x14ac:dyDescent="0.2">
      <c r="A171" s="183"/>
      <c r="B171" s="165"/>
      <c r="C171" s="309" t="s">
        <v>135</v>
      </c>
      <c r="D171" s="310"/>
      <c r="E171" s="310"/>
      <c r="F171" s="310"/>
      <c r="G171" s="310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</row>
    <row r="172" spans="1:60" outlineLevel="1" x14ac:dyDescent="0.2">
      <c r="A172" s="183"/>
      <c r="B172" s="165"/>
      <c r="C172" s="211" t="s">
        <v>381</v>
      </c>
      <c r="D172" s="212"/>
      <c r="E172" s="213">
        <f>340+160</f>
        <v>500</v>
      </c>
      <c r="F172" s="210"/>
      <c r="G172" s="210"/>
      <c r="H172" s="138"/>
      <c r="I172" s="138"/>
      <c r="J172" s="138"/>
      <c r="K172" s="138"/>
      <c r="L172" s="138"/>
      <c r="M172" s="138"/>
      <c r="N172" s="138"/>
      <c r="O172" s="138"/>
      <c r="P172" s="138"/>
      <c r="Q172" s="138"/>
      <c r="R172" s="138"/>
      <c r="S172" s="138"/>
      <c r="T172" s="138"/>
      <c r="U172" s="138"/>
      <c r="V172" s="138"/>
      <c r="W172" s="138"/>
      <c r="X172" s="138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</row>
    <row r="173" spans="1:60" outlineLevel="1" x14ac:dyDescent="0.2">
      <c r="A173" s="183"/>
      <c r="B173" s="165"/>
      <c r="C173" s="322"/>
      <c r="D173" s="323"/>
      <c r="E173" s="323"/>
      <c r="F173" s="323"/>
      <c r="G173" s="323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</row>
    <row r="174" spans="1:60" outlineLevel="1" x14ac:dyDescent="0.2">
      <c r="A174" s="184">
        <f>A170+1</f>
        <v>57</v>
      </c>
      <c r="B174" s="214" t="s">
        <v>282</v>
      </c>
      <c r="C174" s="215" t="s">
        <v>284</v>
      </c>
      <c r="D174" s="186" t="s">
        <v>91</v>
      </c>
      <c r="E174" s="187">
        <v>332</v>
      </c>
      <c r="F174" s="188"/>
      <c r="G174" s="161">
        <f>ROUND(E174*F174,2)</f>
        <v>0</v>
      </c>
      <c r="H174" s="188">
        <v>143</v>
      </c>
      <c r="I174" s="161">
        <f>ROUND(E174*H174,2)</f>
        <v>47476</v>
      </c>
      <c r="J174" s="188">
        <v>0</v>
      </c>
      <c r="K174" s="161">
        <f>ROUND(E174*J174,2)</f>
        <v>0</v>
      </c>
      <c r="L174" s="161">
        <v>21</v>
      </c>
      <c r="M174" s="161">
        <f>G174*(1+L174/100)</f>
        <v>0</v>
      </c>
      <c r="N174" s="161">
        <v>5.4170000000000003E-2</v>
      </c>
      <c r="O174" s="161">
        <f>ROUND(E174*N174,2)</f>
        <v>17.98</v>
      </c>
      <c r="P174" s="161">
        <v>0</v>
      </c>
      <c r="Q174" s="161">
        <f>ROUND(E174*P174,2)</f>
        <v>0</v>
      </c>
      <c r="R174" s="161" t="s">
        <v>134</v>
      </c>
      <c r="S174" s="161" t="s">
        <v>161</v>
      </c>
      <c r="T174" s="161" t="s">
        <v>95</v>
      </c>
      <c r="U174" s="138"/>
      <c r="V174" s="138"/>
      <c r="W174" s="138"/>
      <c r="X174" s="138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</row>
    <row r="175" spans="1:60" outlineLevel="1" x14ac:dyDescent="0.2">
      <c r="A175" s="183"/>
      <c r="B175" s="165"/>
      <c r="C175" s="195"/>
      <c r="D175" s="196"/>
      <c r="E175" s="196"/>
      <c r="F175" s="196"/>
      <c r="G175" s="196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</row>
    <row r="176" spans="1:60" outlineLevel="1" x14ac:dyDescent="0.2">
      <c r="A176" s="184">
        <f>A174+1</f>
        <v>58</v>
      </c>
      <c r="B176" s="214" t="s">
        <v>291</v>
      </c>
      <c r="C176" s="215" t="s">
        <v>289</v>
      </c>
      <c r="D176" s="186" t="s">
        <v>91</v>
      </c>
      <c r="E176" s="187">
        <v>168</v>
      </c>
      <c r="F176" s="188"/>
      <c r="G176" s="161">
        <f>ROUND(E176*F176,2)</f>
        <v>0</v>
      </c>
      <c r="H176" s="188">
        <v>143</v>
      </c>
      <c r="I176" s="161">
        <f>ROUND(E176*H176,2)</f>
        <v>24024</v>
      </c>
      <c r="J176" s="188">
        <v>0</v>
      </c>
      <c r="K176" s="161">
        <f>ROUND(E176*J176,2)</f>
        <v>0</v>
      </c>
      <c r="L176" s="161">
        <v>21</v>
      </c>
      <c r="M176" s="161">
        <f>G176*(1+L176/100)</f>
        <v>0</v>
      </c>
      <c r="N176" s="161">
        <v>5.4170000000000003E-2</v>
      </c>
      <c r="O176" s="161">
        <f>ROUND(E176*N176,2)</f>
        <v>9.1</v>
      </c>
      <c r="P176" s="161">
        <v>0</v>
      </c>
      <c r="Q176" s="161">
        <f>ROUND(E176*P176,2)</f>
        <v>0</v>
      </c>
      <c r="R176" s="161" t="s">
        <v>134</v>
      </c>
      <c r="S176" s="161" t="s">
        <v>161</v>
      </c>
      <c r="T176" s="161" t="s">
        <v>95</v>
      </c>
      <c r="U176" s="138"/>
      <c r="V176" s="138"/>
      <c r="W176" s="138"/>
      <c r="X176" s="138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</row>
    <row r="177" spans="1:60" outlineLevel="1" x14ac:dyDescent="0.2">
      <c r="A177" s="183"/>
      <c r="B177" s="165"/>
      <c r="C177" s="195"/>
      <c r="D177" s="196"/>
      <c r="E177" s="196"/>
      <c r="F177" s="196"/>
      <c r="G177" s="196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</row>
    <row r="178" spans="1:60" outlineLevel="1" x14ac:dyDescent="0.2">
      <c r="A178" s="184">
        <f>A176+1</f>
        <v>59</v>
      </c>
      <c r="B178" s="214" t="s">
        <v>292</v>
      </c>
      <c r="C178" s="215" t="s">
        <v>285</v>
      </c>
      <c r="D178" s="186" t="s">
        <v>91</v>
      </c>
      <c r="E178" s="187">
        <v>20</v>
      </c>
      <c r="F178" s="188"/>
      <c r="G178" s="161">
        <f>ROUND(E178*F178,2)</f>
        <v>0</v>
      </c>
      <c r="H178" s="188">
        <v>143</v>
      </c>
      <c r="I178" s="161">
        <f>ROUND(E178*H178,2)</f>
        <v>2860</v>
      </c>
      <c r="J178" s="188">
        <v>0</v>
      </c>
      <c r="K178" s="161">
        <f>ROUND(E178*J178,2)</f>
        <v>0</v>
      </c>
      <c r="L178" s="161">
        <v>21</v>
      </c>
      <c r="M178" s="161">
        <f>G178*(1+L178/100)</f>
        <v>0</v>
      </c>
      <c r="N178" s="161">
        <v>5.4170000000000003E-2</v>
      </c>
      <c r="O178" s="161">
        <f>ROUND(E178*N178,2)</f>
        <v>1.08</v>
      </c>
      <c r="P178" s="161">
        <v>0</v>
      </c>
      <c r="Q178" s="161">
        <f>ROUND(E178*P178,2)</f>
        <v>0</v>
      </c>
      <c r="R178" s="161" t="s">
        <v>134</v>
      </c>
      <c r="S178" s="161" t="s">
        <v>161</v>
      </c>
      <c r="T178" s="161" t="s">
        <v>95</v>
      </c>
      <c r="U178" s="138"/>
      <c r="V178" s="138"/>
      <c r="W178" s="138"/>
      <c r="X178" s="138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</row>
    <row r="179" spans="1:60" outlineLevel="1" x14ac:dyDescent="0.2">
      <c r="A179" s="183"/>
      <c r="B179" s="165"/>
      <c r="C179" s="195"/>
      <c r="D179" s="196"/>
      <c r="E179" s="196"/>
      <c r="F179" s="196"/>
      <c r="G179" s="196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</row>
    <row r="180" spans="1:60" outlineLevel="1" x14ac:dyDescent="0.2">
      <c r="A180" s="184">
        <f>A178+1</f>
        <v>60</v>
      </c>
      <c r="B180" s="214" t="s">
        <v>449</v>
      </c>
      <c r="C180" s="215" t="s">
        <v>452</v>
      </c>
      <c r="D180" s="186" t="s">
        <v>91</v>
      </c>
      <c r="E180" s="187">
        <v>10</v>
      </c>
      <c r="F180" s="188"/>
      <c r="G180" s="161">
        <f>ROUND(E180*F180,2)</f>
        <v>0</v>
      </c>
      <c r="H180" s="188">
        <v>143</v>
      </c>
      <c r="I180" s="161">
        <f>ROUND(E180*H180,2)</f>
        <v>1430</v>
      </c>
      <c r="J180" s="188">
        <v>0</v>
      </c>
      <c r="K180" s="161">
        <f>ROUND(E180*J180,2)</f>
        <v>0</v>
      </c>
      <c r="L180" s="161">
        <v>21</v>
      </c>
      <c r="M180" s="161">
        <f>G180*(1+L180/100)</f>
        <v>0</v>
      </c>
      <c r="N180" s="161">
        <v>5.4170000000000003E-2</v>
      </c>
      <c r="O180" s="161">
        <f>ROUND(E180*N180,2)</f>
        <v>0.54</v>
      </c>
      <c r="P180" s="161">
        <v>0</v>
      </c>
      <c r="Q180" s="161">
        <f>ROUND(E180*P180,2)</f>
        <v>0</v>
      </c>
      <c r="R180" s="161" t="s">
        <v>134</v>
      </c>
      <c r="S180" s="161" t="s">
        <v>161</v>
      </c>
      <c r="T180" s="161" t="s">
        <v>95</v>
      </c>
      <c r="U180" s="138"/>
      <c r="V180" s="138"/>
      <c r="W180" s="138"/>
      <c r="X180" s="138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</row>
    <row r="181" spans="1:60" outlineLevel="1" x14ac:dyDescent="0.2">
      <c r="A181" s="183"/>
      <c r="B181" s="165"/>
      <c r="C181" s="195"/>
      <c r="D181" s="196"/>
      <c r="E181" s="196"/>
      <c r="F181" s="196"/>
      <c r="G181" s="196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</row>
    <row r="182" spans="1:60" outlineLevel="1" x14ac:dyDescent="0.2">
      <c r="A182" s="184">
        <f>A180+1</f>
        <v>61</v>
      </c>
      <c r="B182" s="214" t="s">
        <v>450</v>
      </c>
      <c r="C182" s="215" t="s">
        <v>451</v>
      </c>
      <c r="D182" s="186" t="s">
        <v>91</v>
      </c>
      <c r="E182" s="187">
        <v>8</v>
      </c>
      <c r="F182" s="188"/>
      <c r="G182" s="161">
        <f>ROUND(E182*F182,2)</f>
        <v>0</v>
      </c>
      <c r="H182" s="188">
        <v>143</v>
      </c>
      <c r="I182" s="161">
        <f>ROUND(E182*H182,2)</f>
        <v>1144</v>
      </c>
      <c r="J182" s="188">
        <v>0</v>
      </c>
      <c r="K182" s="161">
        <f>ROUND(E182*J182,2)</f>
        <v>0</v>
      </c>
      <c r="L182" s="161">
        <v>21</v>
      </c>
      <c r="M182" s="161">
        <f>G182*(1+L182/100)</f>
        <v>0</v>
      </c>
      <c r="N182" s="161">
        <v>5.4170000000000003E-2</v>
      </c>
      <c r="O182" s="161">
        <f>ROUND(E182*N182,2)</f>
        <v>0.43</v>
      </c>
      <c r="P182" s="161">
        <v>0</v>
      </c>
      <c r="Q182" s="161">
        <f>ROUND(E182*P182,2)</f>
        <v>0</v>
      </c>
      <c r="R182" s="161" t="s">
        <v>134</v>
      </c>
      <c r="S182" s="161" t="s">
        <v>161</v>
      </c>
      <c r="T182" s="161" t="s">
        <v>95</v>
      </c>
      <c r="U182" s="138"/>
      <c r="V182" s="138"/>
      <c r="W182" s="138"/>
      <c r="X182" s="138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</row>
    <row r="183" spans="1:60" outlineLevel="1" x14ac:dyDescent="0.2">
      <c r="A183" s="183"/>
      <c r="B183" s="165"/>
      <c r="C183" s="195"/>
      <c r="D183" s="196"/>
      <c r="E183" s="196"/>
      <c r="F183" s="196"/>
      <c r="G183" s="196"/>
      <c r="H183" s="138"/>
      <c r="I183" s="138"/>
      <c r="J183" s="138"/>
      <c r="K183" s="138"/>
      <c r="L183" s="138"/>
      <c r="M183" s="138"/>
      <c r="N183" s="138"/>
      <c r="O183" s="138"/>
      <c r="P183" s="138"/>
      <c r="Q183" s="138"/>
      <c r="R183" s="138"/>
      <c r="S183" s="138"/>
      <c r="T183" s="138"/>
      <c r="U183" s="138"/>
      <c r="V183" s="138"/>
      <c r="W183" s="138"/>
      <c r="X183" s="138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</row>
    <row r="184" spans="1:60" ht="22.5" outlineLevel="1" x14ac:dyDescent="0.2">
      <c r="A184" s="184">
        <f>A182+1</f>
        <v>62</v>
      </c>
      <c r="B184" s="185" t="s">
        <v>286</v>
      </c>
      <c r="C184" s="189" t="s">
        <v>287</v>
      </c>
      <c r="D184" s="186" t="s">
        <v>102</v>
      </c>
      <c r="E184" s="187">
        <v>15</v>
      </c>
      <c r="F184" s="188"/>
      <c r="G184" s="161">
        <f>ROUND(E184*F184,2)</f>
        <v>0</v>
      </c>
      <c r="H184" s="188">
        <v>320.33</v>
      </c>
      <c r="I184" s="161">
        <f>ROUND(E184*H184,2)</f>
        <v>4804.95</v>
      </c>
      <c r="J184" s="188">
        <v>128.16999999999999</v>
      </c>
      <c r="K184" s="161">
        <f>ROUND(E184*J184,2)</f>
        <v>1922.55</v>
      </c>
      <c r="L184" s="161">
        <v>21</v>
      </c>
      <c r="M184" s="161">
        <f>G184*(1+L184/100)</f>
        <v>0</v>
      </c>
      <c r="N184" s="161">
        <v>0.26980999999999999</v>
      </c>
      <c r="O184" s="161">
        <f>ROUND(E184*N184,2)</f>
        <v>4.05</v>
      </c>
      <c r="P184" s="161">
        <v>0</v>
      </c>
      <c r="Q184" s="161">
        <f>ROUND(E184*P184,2)</f>
        <v>0</v>
      </c>
      <c r="R184" s="161" t="s">
        <v>98</v>
      </c>
      <c r="S184" s="161" t="s">
        <v>161</v>
      </c>
      <c r="T184" s="161" t="s">
        <v>161</v>
      </c>
      <c r="U184" s="138"/>
      <c r="V184" s="138"/>
      <c r="W184" s="138"/>
      <c r="X184" s="138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</row>
    <row r="185" spans="1:60" outlineLevel="1" x14ac:dyDescent="0.2">
      <c r="A185" s="183"/>
      <c r="B185" s="165"/>
      <c r="C185" s="309" t="s">
        <v>135</v>
      </c>
      <c r="D185" s="310"/>
      <c r="E185" s="310"/>
      <c r="F185" s="310"/>
      <c r="G185" s="310"/>
      <c r="H185" s="138"/>
      <c r="I185" s="138"/>
      <c r="J185" s="138"/>
      <c r="K185" s="138"/>
      <c r="L185" s="138"/>
      <c r="M185" s="138"/>
      <c r="N185" s="138"/>
      <c r="O185" s="138"/>
      <c r="P185" s="138"/>
      <c r="Q185" s="138"/>
      <c r="R185" s="138"/>
      <c r="S185" s="138"/>
      <c r="T185" s="138"/>
      <c r="U185" s="138"/>
      <c r="V185" s="138"/>
      <c r="W185" s="138"/>
      <c r="X185" s="138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</row>
    <row r="186" spans="1:60" outlineLevel="1" x14ac:dyDescent="0.2">
      <c r="A186" s="183"/>
      <c r="B186" s="165"/>
      <c r="C186" s="322"/>
      <c r="D186" s="323"/>
      <c r="E186" s="323"/>
      <c r="F186" s="323"/>
      <c r="G186" s="323"/>
      <c r="H186" s="138"/>
      <c r="I186" s="138"/>
      <c r="J186" s="138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</row>
    <row r="187" spans="1:60" outlineLevel="1" x14ac:dyDescent="0.2">
      <c r="A187" s="184">
        <f>A184+1</f>
        <v>63</v>
      </c>
      <c r="B187" s="214" t="s">
        <v>290</v>
      </c>
      <c r="C187" s="215" t="s">
        <v>288</v>
      </c>
      <c r="D187" s="186" t="s">
        <v>91</v>
      </c>
      <c r="E187" s="187">
        <v>17</v>
      </c>
      <c r="F187" s="188"/>
      <c r="G187" s="161">
        <f>ROUND(E187*F187,2)</f>
        <v>0</v>
      </c>
      <c r="H187" s="188">
        <v>143</v>
      </c>
      <c r="I187" s="161">
        <f>ROUND(E187*H187,2)</f>
        <v>2431</v>
      </c>
      <c r="J187" s="188">
        <v>0</v>
      </c>
      <c r="K187" s="161">
        <f>ROUND(E187*J187,2)</f>
        <v>0</v>
      </c>
      <c r="L187" s="161">
        <v>21</v>
      </c>
      <c r="M187" s="161">
        <f>G187*(1+L187/100)</f>
        <v>0</v>
      </c>
      <c r="N187" s="161">
        <v>5.4170000000000003E-2</v>
      </c>
      <c r="O187" s="161">
        <f>ROUND(E187*N187,2)</f>
        <v>0.92</v>
      </c>
      <c r="P187" s="161">
        <v>0</v>
      </c>
      <c r="Q187" s="161">
        <f>ROUND(E187*P187,2)</f>
        <v>0</v>
      </c>
      <c r="R187" s="161" t="s">
        <v>134</v>
      </c>
      <c r="S187" s="161" t="s">
        <v>161</v>
      </c>
      <c r="T187" s="161" t="s">
        <v>95</v>
      </c>
      <c r="U187" s="138"/>
      <c r="V187" s="138"/>
      <c r="W187" s="138"/>
      <c r="X187" s="138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</row>
    <row r="188" spans="1:60" outlineLevel="1" x14ac:dyDescent="0.2">
      <c r="A188" s="183"/>
      <c r="B188" s="165"/>
      <c r="C188" s="195"/>
      <c r="D188" s="196"/>
      <c r="E188" s="196"/>
      <c r="F188" s="196"/>
      <c r="G188" s="196"/>
      <c r="H188" s="138"/>
      <c r="I188" s="138"/>
      <c r="J188" s="138"/>
      <c r="K188" s="138"/>
      <c r="L188" s="138"/>
      <c r="M188" s="138"/>
      <c r="N188" s="138"/>
      <c r="O188" s="138"/>
      <c r="P188" s="138"/>
      <c r="Q188" s="138"/>
      <c r="R188" s="138"/>
      <c r="S188" s="138"/>
      <c r="T188" s="138"/>
      <c r="U188" s="138"/>
      <c r="V188" s="138"/>
      <c r="W188" s="138"/>
      <c r="X188" s="138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</row>
    <row r="189" spans="1:60" outlineLevel="1" x14ac:dyDescent="0.2">
      <c r="A189" s="184">
        <f>A187+1</f>
        <v>64</v>
      </c>
      <c r="B189" s="185" t="s">
        <v>301</v>
      </c>
      <c r="C189" s="189" t="s">
        <v>299</v>
      </c>
      <c r="D189" s="186" t="s">
        <v>92</v>
      </c>
      <c r="E189" s="187">
        <f>E190</f>
        <v>65</v>
      </c>
      <c r="F189" s="188"/>
      <c r="G189" s="161">
        <f>ROUND(E189*F189,2)</f>
        <v>0</v>
      </c>
      <c r="H189" s="188">
        <v>143</v>
      </c>
      <c r="I189" s="161">
        <f>ROUND(E189*H189,2)</f>
        <v>9295</v>
      </c>
      <c r="J189" s="188">
        <v>0</v>
      </c>
      <c r="K189" s="161">
        <f>ROUND(E189*J189,2)</f>
        <v>0</v>
      </c>
      <c r="L189" s="161">
        <v>21</v>
      </c>
      <c r="M189" s="161">
        <f>G189*(1+L189/100)</f>
        <v>0</v>
      </c>
      <c r="N189" s="161">
        <v>5.4170000000000003E-2</v>
      </c>
      <c r="O189" s="161">
        <f>ROUND(E189*N189,2)</f>
        <v>3.52</v>
      </c>
      <c r="P189" s="161">
        <v>0</v>
      </c>
      <c r="Q189" s="161">
        <f>ROUND(E189*P189,2)</f>
        <v>0</v>
      </c>
      <c r="R189" s="161" t="s">
        <v>134</v>
      </c>
      <c r="S189" s="161" t="s">
        <v>161</v>
      </c>
      <c r="T189" s="161" t="s">
        <v>95</v>
      </c>
      <c r="U189" s="138"/>
      <c r="V189" s="138"/>
      <c r="W189" s="138"/>
      <c r="X189" s="138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</row>
    <row r="190" spans="1:60" outlineLevel="1" x14ac:dyDescent="0.2">
      <c r="A190" s="183"/>
      <c r="B190" s="165"/>
      <c r="C190" s="211" t="s">
        <v>382</v>
      </c>
      <c r="D190" s="212"/>
      <c r="E190" s="213">
        <v>65</v>
      </c>
      <c r="F190" s="210"/>
      <c r="G190" s="210"/>
      <c r="H190" s="190"/>
      <c r="I190" s="138"/>
      <c r="J190" s="190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</row>
    <row r="191" spans="1:60" outlineLevel="1" x14ac:dyDescent="0.2">
      <c r="A191" s="183"/>
      <c r="B191" s="165"/>
      <c r="C191" s="195"/>
      <c r="D191" s="196"/>
      <c r="E191" s="196"/>
      <c r="F191" s="196"/>
      <c r="G191" s="196"/>
      <c r="H191" s="138"/>
      <c r="I191" s="138"/>
      <c r="J191" s="138"/>
      <c r="K191" s="138"/>
      <c r="L191" s="138"/>
      <c r="M191" s="138"/>
      <c r="N191" s="138"/>
      <c r="O191" s="138"/>
      <c r="P191" s="138"/>
      <c r="Q191" s="138"/>
      <c r="R191" s="138"/>
      <c r="S191" s="138"/>
      <c r="T191" s="138"/>
      <c r="U191" s="138"/>
      <c r="V191" s="138"/>
      <c r="W191" s="138"/>
      <c r="X191" s="138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</row>
    <row r="192" spans="1:60" outlineLevel="1" x14ac:dyDescent="0.2">
      <c r="A192" s="184">
        <f>A189+1</f>
        <v>65</v>
      </c>
      <c r="B192" s="185" t="s">
        <v>295</v>
      </c>
      <c r="C192" s="189" t="s">
        <v>294</v>
      </c>
      <c r="D192" s="186" t="s">
        <v>102</v>
      </c>
      <c r="E192" s="187">
        <f>E193</f>
        <v>314</v>
      </c>
      <c r="F192" s="188"/>
      <c r="G192" s="161">
        <f>ROUND(E192*F192,2)</f>
        <v>0</v>
      </c>
      <c r="H192" s="188">
        <v>46.75</v>
      </c>
      <c r="I192" s="161">
        <f>ROUND(E192*H192,2)</f>
        <v>14679.5</v>
      </c>
      <c r="J192" s="188">
        <v>31.45</v>
      </c>
      <c r="K192" s="161">
        <f>ROUND(E192*J192,2)</f>
        <v>9875.2999999999993</v>
      </c>
      <c r="L192" s="161">
        <v>21</v>
      </c>
      <c r="M192" s="161">
        <f>G192*(1+L192/100)</f>
        <v>0</v>
      </c>
      <c r="N192" s="161">
        <v>0</v>
      </c>
      <c r="O192" s="161">
        <f>ROUND(E192*N192,2)</f>
        <v>0</v>
      </c>
      <c r="P192" s="161">
        <v>0</v>
      </c>
      <c r="Q192" s="161">
        <f>ROUND(E192*P192,2)</f>
        <v>0</v>
      </c>
      <c r="R192" s="161" t="s">
        <v>98</v>
      </c>
      <c r="S192" s="161" t="s">
        <v>161</v>
      </c>
      <c r="T192" s="161" t="s">
        <v>161</v>
      </c>
      <c r="U192" s="138"/>
      <c r="V192" s="138"/>
      <c r="W192" s="138"/>
      <c r="X192" s="138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</row>
    <row r="193" spans="1:60" outlineLevel="1" x14ac:dyDescent="0.2">
      <c r="A193" s="183"/>
      <c r="B193" s="165"/>
      <c r="C193" s="211" t="s">
        <v>383</v>
      </c>
      <c r="D193" s="212"/>
      <c r="E193" s="213">
        <f>144*2+13*2</f>
        <v>314</v>
      </c>
      <c r="F193" s="210"/>
      <c r="G193" s="210"/>
      <c r="H193" s="190"/>
      <c r="I193" s="138"/>
      <c r="J193" s="190"/>
      <c r="K193" s="138"/>
      <c r="L193" s="138"/>
      <c r="M193" s="138"/>
      <c r="N193" s="138"/>
      <c r="O193" s="138"/>
      <c r="P193" s="138"/>
      <c r="Q193" s="138"/>
      <c r="R193" s="138"/>
      <c r="S193" s="138"/>
      <c r="T193" s="138"/>
      <c r="U193" s="138"/>
      <c r="V193" s="138"/>
      <c r="W193" s="138"/>
      <c r="X193" s="138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</row>
    <row r="194" spans="1:60" outlineLevel="1" x14ac:dyDescent="0.2">
      <c r="A194" s="183"/>
      <c r="B194" s="165"/>
      <c r="C194" s="195"/>
      <c r="D194" s="196"/>
      <c r="E194" s="196"/>
      <c r="F194" s="196"/>
      <c r="G194" s="196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</row>
    <row r="195" spans="1:60" outlineLevel="1" x14ac:dyDescent="0.2">
      <c r="A195" s="184">
        <f>A192+1</f>
        <v>66</v>
      </c>
      <c r="B195" s="185" t="s">
        <v>296</v>
      </c>
      <c r="C195" s="189" t="s">
        <v>297</v>
      </c>
      <c r="D195" s="186" t="s">
        <v>102</v>
      </c>
      <c r="E195" s="187">
        <f>E192</f>
        <v>314</v>
      </c>
      <c r="F195" s="188"/>
      <c r="G195" s="161">
        <f>ROUND(E195*F195,2)</f>
        <v>0</v>
      </c>
      <c r="H195" s="188">
        <v>46.75</v>
      </c>
      <c r="I195" s="161">
        <f>ROUND(E195*H195,2)</f>
        <v>14679.5</v>
      </c>
      <c r="J195" s="188">
        <v>31.45</v>
      </c>
      <c r="K195" s="161">
        <f>ROUND(E195*J195,2)</f>
        <v>9875.2999999999993</v>
      </c>
      <c r="L195" s="161">
        <v>21</v>
      </c>
      <c r="M195" s="161">
        <f>G195*(1+L195/100)</f>
        <v>0</v>
      </c>
      <c r="N195" s="161">
        <v>0</v>
      </c>
      <c r="O195" s="161">
        <f>ROUND(E195*N195,2)</f>
        <v>0</v>
      </c>
      <c r="P195" s="161">
        <v>0</v>
      </c>
      <c r="Q195" s="161">
        <f>ROUND(E195*P195,2)</f>
        <v>0</v>
      </c>
      <c r="R195" s="161" t="s">
        <v>98</v>
      </c>
      <c r="S195" s="161" t="s">
        <v>161</v>
      </c>
      <c r="T195" s="161" t="s">
        <v>161</v>
      </c>
      <c r="U195" s="138"/>
      <c r="V195" s="138"/>
      <c r="W195" s="138"/>
      <c r="X195" s="138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</row>
    <row r="196" spans="1:60" outlineLevel="1" x14ac:dyDescent="0.2">
      <c r="A196" s="183"/>
      <c r="B196" s="165"/>
      <c r="C196" s="195"/>
      <c r="D196" s="196"/>
      <c r="E196" s="196"/>
      <c r="F196" s="196"/>
      <c r="G196" s="196"/>
      <c r="H196" s="138"/>
      <c r="I196" s="138"/>
      <c r="J196" s="138"/>
      <c r="K196" s="138"/>
      <c r="L196" s="138"/>
      <c r="M196" s="138"/>
      <c r="N196" s="138"/>
      <c r="O196" s="138"/>
      <c r="P196" s="138"/>
      <c r="Q196" s="138"/>
      <c r="R196" s="138"/>
      <c r="S196" s="138"/>
      <c r="T196" s="138"/>
      <c r="U196" s="138"/>
      <c r="V196" s="138"/>
      <c r="W196" s="138"/>
      <c r="X196" s="138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</row>
    <row r="197" spans="1:60" outlineLevel="1" x14ac:dyDescent="0.2">
      <c r="A197" s="184">
        <f>A195+1</f>
        <v>67</v>
      </c>
      <c r="B197" s="185" t="s">
        <v>136</v>
      </c>
      <c r="C197" s="189" t="s">
        <v>137</v>
      </c>
      <c r="D197" s="186" t="s">
        <v>102</v>
      </c>
      <c r="E197" s="187">
        <v>26</v>
      </c>
      <c r="F197" s="188"/>
      <c r="G197" s="161">
        <f>ROUND(E197*F197,2)</f>
        <v>0</v>
      </c>
      <c r="H197" s="188">
        <v>46.75</v>
      </c>
      <c r="I197" s="161">
        <f>ROUND(E197*H197,2)</f>
        <v>1215.5</v>
      </c>
      <c r="J197" s="188">
        <v>31.45</v>
      </c>
      <c r="K197" s="161">
        <f>ROUND(E197*J197,2)</f>
        <v>817.7</v>
      </c>
      <c r="L197" s="161">
        <v>21</v>
      </c>
      <c r="M197" s="161">
        <f>G197*(1+L197/100)</f>
        <v>0</v>
      </c>
      <c r="N197" s="161">
        <v>0</v>
      </c>
      <c r="O197" s="161">
        <f>ROUND(E197*N197,2)</f>
        <v>0</v>
      </c>
      <c r="P197" s="161">
        <v>0</v>
      </c>
      <c r="Q197" s="161">
        <f>ROUND(E197*P197,2)</f>
        <v>0</v>
      </c>
      <c r="R197" s="161" t="s">
        <v>98</v>
      </c>
      <c r="S197" s="161" t="s">
        <v>161</v>
      </c>
      <c r="T197" s="161" t="s">
        <v>161</v>
      </c>
      <c r="U197" s="138"/>
      <c r="V197" s="138"/>
      <c r="W197" s="138"/>
      <c r="X197" s="138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</row>
    <row r="198" spans="1:60" outlineLevel="1" x14ac:dyDescent="0.2">
      <c r="A198" s="183"/>
      <c r="B198" s="165"/>
      <c r="C198" s="309" t="s">
        <v>107</v>
      </c>
      <c r="D198" s="310"/>
      <c r="E198" s="310"/>
      <c r="F198" s="310"/>
      <c r="G198" s="310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</row>
    <row r="199" spans="1:60" outlineLevel="1" x14ac:dyDescent="0.2">
      <c r="A199" s="183"/>
      <c r="B199" s="165"/>
      <c r="C199" s="322"/>
      <c r="D199" s="323"/>
      <c r="E199" s="323"/>
      <c r="F199" s="323"/>
      <c r="G199" s="323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</row>
    <row r="200" spans="1:60" outlineLevel="1" x14ac:dyDescent="0.2">
      <c r="A200" s="140" t="s">
        <v>88</v>
      </c>
      <c r="B200" s="141" t="s">
        <v>120</v>
      </c>
      <c r="C200" s="147" t="s">
        <v>121</v>
      </c>
      <c r="D200" s="142"/>
      <c r="E200" s="143"/>
      <c r="F200" s="144"/>
      <c r="G200" s="144">
        <f>G201</f>
        <v>0</v>
      </c>
      <c r="H200" s="144"/>
      <c r="I200" s="144" t="e">
        <f>SUM(#REF!)</f>
        <v>#REF!</v>
      </c>
      <c r="J200" s="144"/>
      <c r="K200" s="144" t="e">
        <f>SUM(#REF!)</f>
        <v>#REF!</v>
      </c>
      <c r="L200" s="144"/>
      <c r="M200" s="144">
        <f>M201</f>
        <v>0</v>
      </c>
      <c r="N200" s="144"/>
      <c r="O200" s="144" t="e">
        <f>SUM(#REF!)</f>
        <v>#REF!</v>
      </c>
      <c r="P200" s="144"/>
      <c r="Q200" s="144" t="e">
        <f>SUM(#REF!)</f>
        <v>#REF!</v>
      </c>
      <c r="R200" s="144"/>
      <c r="S200" s="144"/>
      <c r="T200" s="145"/>
      <c r="U200" s="138"/>
      <c r="V200" s="138"/>
      <c r="W200" s="138"/>
      <c r="X200" s="138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</row>
    <row r="201" spans="1:60" outlineLevel="1" x14ac:dyDescent="0.2">
      <c r="A201" s="184">
        <f>A197+1</f>
        <v>68</v>
      </c>
      <c r="B201" s="185" t="s">
        <v>138</v>
      </c>
      <c r="C201" s="189" t="s">
        <v>139</v>
      </c>
      <c r="D201" s="186" t="s">
        <v>91</v>
      </c>
      <c r="E201" s="187">
        <v>14</v>
      </c>
      <c r="F201" s="188"/>
      <c r="G201" s="161">
        <f>ROUND(E201*F201,2)</f>
        <v>0</v>
      </c>
      <c r="H201" s="188">
        <v>585.16999999999996</v>
      </c>
      <c r="I201" s="161">
        <f>ROUND(E201*H201,2)</f>
        <v>8192.3799999999992</v>
      </c>
      <c r="J201" s="188">
        <v>672.83</v>
      </c>
      <c r="K201" s="161">
        <f>ROUND(E201*J201,2)</f>
        <v>9419.6200000000008</v>
      </c>
      <c r="L201" s="161">
        <v>21</v>
      </c>
      <c r="M201" s="161">
        <f>G201*(1+L201/100)</f>
        <v>0</v>
      </c>
      <c r="N201" s="161">
        <v>0.31590000000000001</v>
      </c>
      <c r="O201" s="161">
        <f>ROUND(E201*N201,2)</f>
        <v>4.42</v>
      </c>
      <c r="P201" s="161">
        <v>0</v>
      </c>
      <c r="Q201" s="161">
        <f>ROUND(E201*P201,2)</f>
        <v>0</v>
      </c>
      <c r="R201" s="161" t="s">
        <v>98</v>
      </c>
      <c r="S201" s="161" t="s">
        <v>161</v>
      </c>
      <c r="T201" s="161" t="s">
        <v>161</v>
      </c>
      <c r="U201" s="138"/>
      <c r="V201" s="138"/>
      <c r="W201" s="138"/>
      <c r="X201" s="138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</row>
    <row r="202" spans="1:60" ht="34.15" customHeight="1" outlineLevel="1" x14ac:dyDescent="0.2">
      <c r="A202" s="183"/>
      <c r="B202" s="165"/>
      <c r="C202" s="309" t="s">
        <v>140</v>
      </c>
      <c r="D202" s="310"/>
      <c r="E202" s="310"/>
      <c r="F202" s="310"/>
      <c r="G202" s="310"/>
      <c r="H202" s="138"/>
      <c r="I202" s="138"/>
      <c r="J202" s="138"/>
      <c r="K202" s="138"/>
      <c r="L202" s="138"/>
      <c r="M202" s="138"/>
      <c r="N202" s="138"/>
      <c r="O202" s="138"/>
      <c r="P202" s="138"/>
      <c r="Q202" s="138"/>
      <c r="R202" s="138"/>
      <c r="S202" s="138"/>
      <c r="T202" s="138"/>
      <c r="U202" s="138"/>
      <c r="V202" s="138"/>
      <c r="W202" s="138"/>
      <c r="X202" s="138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</row>
    <row r="203" spans="1:60" outlineLevel="1" x14ac:dyDescent="0.2">
      <c r="A203" s="183"/>
      <c r="B203" s="165"/>
      <c r="C203" s="195"/>
      <c r="D203" s="195"/>
      <c r="E203" s="195"/>
      <c r="F203" s="195"/>
      <c r="G203" s="195"/>
      <c r="H203" s="138"/>
      <c r="I203" s="138"/>
      <c r="J203" s="138"/>
      <c r="K203" s="138"/>
      <c r="L203" s="138"/>
      <c r="M203" s="138"/>
      <c r="N203" s="138"/>
      <c r="O203" s="138"/>
      <c r="P203" s="138"/>
      <c r="Q203" s="138"/>
      <c r="R203" s="138"/>
      <c r="S203" s="138"/>
      <c r="T203" s="138"/>
      <c r="U203" s="138"/>
      <c r="V203" s="138"/>
      <c r="W203" s="138"/>
      <c r="X203" s="138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</row>
    <row r="204" spans="1:60" outlineLevel="1" x14ac:dyDescent="0.2">
      <c r="A204" s="140" t="s">
        <v>88</v>
      </c>
      <c r="B204" s="141" t="s">
        <v>141</v>
      </c>
      <c r="C204" s="147" t="s">
        <v>142</v>
      </c>
      <c r="D204" s="142"/>
      <c r="E204" s="143"/>
      <c r="F204" s="144"/>
      <c r="G204" s="144">
        <f>G205+G208</f>
        <v>0</v>
      </c>
      <c r="H204" s="144"/>
      <c r="I204" s="144" t="e">
        <f>SUM(#REF!)</f>
        <v>#REF!</v>
      </c>
      <c r="J204" s="144"/>
      <c r="K204" s="144" t="e">
        <f>SUM(#REF!)</f>
        <v>#REF!</v>
      </c>
      <c r="L204" s="144"/>
      <c r="M204" s="144">
        <f>M205+M208</f>
        <v>0</v>
      </c>
      <c r="N204" s="144"/>
      <c r="O204" s="144" t="e">
        <f>SUM(#REF!)</f>
        <v>#REF!</v>
      </c>
      <c r="P204" s="144"/>
      <c r="Q204" s="144" t="e">
        <f>SUM(#REF!)</f>
        <v>#REF!</v>
      </c>
      <c r="R204" s="144"/>
      <c r="S204" s="144"/>
      <c r="T204" s="145"/>
      <c r="U204" s="138"/>
      <c r="V204" s="138"/>
      <c r="W204" s="138"/>
      <c r="X204" s="138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</row>
    <row r="205" spans="1:60" outlineLevel="1" x14ac:dyDescent="0.2">
      <c r="A205" s="184">
        <f>A201+1</f>
        <v>69</v>
      </c>
      <c r="B205" s="185" t="s">
        <v>143</v>
      </c>
      <c r="C205" s="189" t="s">
        <v>405</v>
      </c>
      <c r="D205" s="186" t="s">
        <v>91</v>
      </c>
      <c r="E205" s="187">
        <v>4</v>
      </c>
      <c r="F205" s="188"/>
      <c r="G205" s="161">
        <f>E205*F205</f>
        <v>0</v>
      </c>
      <c r="H205" s="197">
        <v>339.99</v>
      </c>
      <c r="I205" s="161">
        <v>679.98</v>
      </c>
      <c r="J205" s="197">
        <v>352.01</v>
      </c>
      <c r="K205" s="161">
        <v>704.02</v>
      </c>
      <c r="L205" s="161">
        <v>21</v>
      </c>
      <c r="M205" s="161">
        <f>G205*1.21</f>
        <v>0</v>
      </c>
      <c r="N205" s="161">
        <v>0.25080000000000002</v>
      </c>
      <c r="O205" s="161">
        <v>0.5</v>
      </c>
      <c r="P205" s="161">
        <v>0</v>
      </c>
      <c r="Q205" s="161">
        <v>0</v>
      </c>
      <c r="R205" s="161" t="s">
        <v>98</v>
      </c>
      <c r="S205" s="161" t="s">
        <v>161</v>
      </c>
      <c r="T205" s="161" t="s">
        <v>161</v>
      </c>
      <c r="U205" s="138"/>
      <c r="V205" s="138"/>
      <c r="W205" s="138"/>
      <c r="X205" s="138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</row>
    <row r="206" spans="1:60" outlineLevel="1" x14ac:dyDescent="0.2">
      <c r="A206" s="240"/>
      <c r="B206" s="199"/>
      <c r="C206" s="309" t="s">
        <v>410</v>
      </c>
      <c r="D206" s="310"/>
      <c r="E206" s="310"/>
      <c r="F206" s="310"/>
      <c r="G206" s="310"/>
      <c r="H206" s="139"/>
      <c r="I206" s="139"/>
      <c r="J206" s="139"/>
      <c r="K206" s="139"/>
      <c r="L206" s="200"/>
      <c r="M206" s="200"/>
      <c r="N206" s="200"/>
      <c r="O206" s="200"/>
      <c r="P206" s="200"/>
      <c r="Q206" s="200"/>
      <c r="R206" s="200"/>
      <c r="S206" s="200"/>
      <c r="T206" s="200"/>
      <c r="U206" s="138"/>
      <c r="V206" s="138"/>
      <c r="W206" s="138"/>
      <c r="X206" s="138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</row>
    <row r="207" spans="1:60" outlineLevel="1" x14ac:dyDescent="0.2">
      <c r="A207" s="26"/>
      <c r="B207" s="199"/>
      <c r="C207" s="322"/>
      <c r="D207" s="323"/>
      <c r="E207" s="323"/>
      <c r="F207" s="323"/>
      <c r="G207" s="323"/>
      <c r="H207" s="139"/>
      <c r="I207" s="139"/>
      <c r="J207" s="139"/>
      <c r="K207" s="139"/>
      <c r="L207" s="200"/>
      <c r="M207" s="200"/>
      <c r="N207" s="200"/>
      <c r="O207" s="200"/>
      <c r="P207" s="200"/>
      <c r="Q207" s="200"/>
      <c r="R207" s="200"/>
      <c r="S207" s="201"/>
      <c r="T207" s="201"/>
      <c r="U207" s="138"/>
      <c r="V207" s="138"/>
      <c r="W207" s="138"/>
      <c r="X207" s="138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</row>
    <row r="208" spans="1:60" outlineLevel="1" x14ac:dyDescent="0.2">
      <c r="A208" s="184">
        <f>A205+1</f>
        <v>70</v>
      </c>
      <c r="B208" s="185" t="s">
        <v>407</v>
      </c>
      <c r="C208" s="189" t="s">
        <v>406</v>
      </c>
      <c r="D208" s="186" t="s">
        <v>91</v>
      </c>
      <c r="E208" s="187">
        <v>4</v>
      </c>
      <c r="F208" s="188"/>
      <c r="G208" s="161">
        <f>E208*F208</f>
        <v>0</v>
      </c>
      <c r="H208" s="197">
        <v>339.99</v>
      </c>
      <c r="I208" s="161">
        <v>679.98</v>
      </c>
      <c r="J208" s="197">
        <v>352.01</v>
      </c>
      <c r="K208" s="161">
        <v>704.02</v>
      </c>
      <c r="L208" s="161">
        <v>21</v>
      </c>
      <c r="M208" s="161">
        <f>G208*1.21</f>
        <v>0</v>
      </c>
      <c r="N208" s="161">
        <v>0.25080000000000002</v>
      </c>
      <c r="O208" s="161">
        <v>0.5</v>
      </c>
      <c r="P208" s="161">
        <v>0</v>
      </c>
      <c r="Q208" s="161">
        <v>0</v>
      </c>
      <c r="R208" s="161" t="s">
        <v>98</v>
      </c>
      <c r="S208" s="161" t="s">
        <v>161</v>
      </c>
      <c r="T208" s="161" t="s">
        <v>161</v>
      </c>
      <c r="U208" s="138"/>
      <c r="V208" s="138"/>
      <c r="W208" s="138"/>
      <c r="X208" s="138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</row>
    <row r="209" spans="1:60" outlineLevel="1" x14ac:dyDescent="0.2">
      <c r="A209" s="240"/>
      <c r="B209" s="199"/>
      <c r="C209" s="309" t="s">
        <v>408</v>
      </c>
      <c r="D209" s="310"/>
      <c r="E209" s="310"/>
      <c r="F209" s="310"/>
      <c r="G209" s="310"/>
      <c r="H209" s="139"/>
      <c r="I209" s="139"/>
      <c r="J209" s="139"/>
      <c r="K209" s="139"/>
      <c r="L209" s="200"/>
      <c r="M209" s="200"/>
      <c r="N209" s="200"/>
      <c r="O209" s="200"/>
      <c r="P209" s="200"/>
      <c r="Q209" s="200"/>
      <c r="R209" s="200"/>
      <c r="S209" s="200"/>
      <c r="T209" s="200"/>
      <c r="U209" s="138"/>
      <c r="V209" s="138"/>
      <c r="W209" s="138"/>
      <c r="X209" s="138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</row>
    <row r="210" spans="1:60" outlineLevel="1" x14ac:dyDescent="0.2">
      <c r="A210" s="240"/>
      <c r="B210" s="199"/>
      <c r="C210" s="211" t="s">
        <v>409</v>
      </c>
      <c r="D210" s="212"/>
      <c r="E210" s="213">
        <v>4</v>
      </c>
      <c r="F210" s="210"/>
      <c r="G210" s="210"/>
      <c r="H210" s="139"/>
      <c r="I210" s="139"/>
      <c r="J210" s="139"/>
      <c r="K210" s="139"/>
      <c r="L210" s="200"/>
      <c r="M210" s="200"/>
      <c r="N210" s="200"/>
      <c r="O210" s="200"/>
      <c r="P210" s="200"/>
      <c r="Q210" s="200"/>
      <c r="R210" s="200"/>
      <c r="S210" s="200"/>
      <c r="T210" s="200"/>
      <c r="U210" s="138"/>
      <c r="V210" s="138"/>
      <c r="W210" s="138"/>
      <c r="X210" s="138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</row>
    <row r="211" spans="1:60" outlineLevel="1" x14ac:dyDescent="0.2">
      <c r="A211" s="240"/>
      <c r="B211" s="199"/>
      <c r="C211" s="195"/>
      <c r="D211" s="196"/>
      <c r="E211" s="196"/>
      <c r="F211" s="196"/>
      <c r="G211" s="196"/>
      <c r="H211" s="139"/>
      <c r="I211" s="139"/>
      <c r="J211" s="139"/>
      <c r="K211" s="139"/>
      <c r="L211" s="200"/>
      <c r="M211" s="200"/>
      <c r="N211" s="200"/>
      <c r="O211" s="200"/>
      <c r="P211" s="200"/>
      <c r="Q211" s="200"/>
      <c r="R211" s="200"/>
      <c r="S211" s="200"/>
      <c r="T211" s="200"/>
      <c r="U211" s="138"/>
      <c r="V211" s="138"/>
      <c r="W211" s="138"/>
      <c r="X211" s="138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</row>
    <row r="212" spans="1:60" outlineLevel="1" x14ac:dyDescent="0.2">
      <c r="A212" s="140" t="s">
        <v>88</v>
      </c>
      <c r="B212" s="141" t="s">
        <v>144</v>
      </c>
      <c r="C212" s="147" t="s">
        <v>145</v>
      </c>
      <c r="D212" s="142"/>
      <c r="E212" s="143"/>
      <c r="F212" s="144"/>
      <c r="G212" s="144">
        <f>SUMIF(AG213:AG224,"&lt;&gt;NOR",G213:G224)</f>
        <v>0</v>
      </c>
      <c r="H212" s="144"/>
      <c r="I212" s="144">
        <f>SUM(I213:I224)</f>
        <v>0</v>
      </c>
      <c r="J212" s="144"/>
      <c r="K212" s="144">
        <f>SUM(K213:K224)</f>
        <v>140996.94</v>
      </c>
      <c r="L212" s="144"/>
      <c r="M212" s="144">
        <f>SUM(M213:M224)</f>
        <v>0</v>
      </c>
      <c r="N212" s="144"/>
      <c r="O212" s="144">
        <f>SUM(O213:O224)</f>
        <v>0</v>
      </c>
      <c r="P212" s="144"/>
      <c r="Q212" s="144">
        <f>SUM(Q213:Q224)</f>
        <v>0</v>
      </c>
      <c r="R212" s="144"/>
      <c r="S212" s="144"/>
      <c r="T212" s="145"/>
      <c r="U212" s="138"/>
      <c r="V212" s="138"/>
      <c r="W212" s="138"/>
      <c r="X212" s="138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</row>
    <row r="213" spans="1:60" outlineLevel="1" x14ac:dyDescent="0.2">
      <c r="A213" s="184">
        <f>A208+1</f>
        <v>71</v>
      </c>
      <c r="B213" s="185" t="s">
        <v>146</v>
      </c>
      <c r="C213" s="189" t="s">
        <v>147</v>
      </c>
      <c r="D213" s="186" t="s">
        <v>106</v>
      </c>
      <c r="E213" s="187">
        <f>E187*0.08*0.25*2+E178*0.15*0.25*2+E176*0.15*0.15*2+E174*0.15*0.25*2+12*0.4*0.5*2*0.75+E114*0.08*2+E112*0.08*2+E106*0.06*2+E104*0.06*2+5*0.8+E180*0.08+E182*0.08</f>
        <v>129.4272</v>
      </c>
      <c r="F213" s="188"/>
      <c r="G213" s="161">
        <f>ROUND(E213*F213,2)</f>
        <v>0</v>
      </c>
      <c r="H213" s="188">
        <v>0</v>
      </c>
      <c r="I213" s="161">
        <f>ROUND(E213*H213,2)</f>
        <v>0</v>
      </c>
      <c r="J213" s="188">
        <v>225.5</v>
      </c>
      <c r="K213" s="161">
        <f>ROUND(E213*J213,2)</f>
        <v>29185.83</v>
      </c>
      <c r="L213" s="161">
        <v>21</v>
      </c>
      <c r="M213" s="161">
        <f>G213*(1+L213/100)</f>
        <v>0</v>
      </c>
      <c r="N213" s="161">
        <v>0</v>
      </c>
      <c r="O213" s="161">
        <f>ROUND(E213*N213,2)</f>
        <v>0</v>
      </c>
      <c r="P213" s="161">
        <v>0</v>
      </c>
      <c r="Q213" s="161">
        <f>ROUND(E213*P213,2)</f>
        <v>0</v>
      </c>
      <c r="R213" s="161" t="s">
        <v>98</v>
      </c>
      <c r="S213" s="161" t="s">
        <v>161</v>
      </c>
      <c r="T213" s="161" t="s">
        <v>161</v>
      </c>
      <c r="U213" s="138"/>
      <c r="V213" s="138"/>
      <c r="W213" s="138"/>
      <c r="X213" s="138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</row>
    <row r="214" spans="1:60" ht="33.75" outlineLevel="1" x14ac:dyDescent="0.2">
      <c r="A214" s="183"/>
      <c r="B214" s="165"/>
      <c r="C214" s="208" t="s">
        <v>303</v>
      </c>
      <c r="D214" s="209"/>
      <c r="E214" s="209"/>
      <c r="F214" s="209"/>
      <c r="G214" s="209"/>
      <c r="H214" s="190"/>
      <c r="I214" s="138"/>
      <c r="J214" s="190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</row>
    <row r="215" spans="1:60" outlineLevel="1" x14ac:dyDescent="0.2">
      <c r="A215" s="183"/>
      <c r="B215" s="165"/>
      <c r="C215" s="211" t="s">
        <v>384</v>
      </c>
      <c r="D215" s="212"/>
      <c r="E215" s="213">
        <f>E213</f>
        <v>129.4272</v>
      </c>
      <c r="F215" s="209"/>
      <c r="G215" s="209"/>
      <c r="H215" s="190"/>
      <c r="I215" s="138"/>
      <c r="J215" s="190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</row>
    <row r="216" spans="1:60" outlineLevel="1" x14ac:dyDescent="0.2">
      <c r="A216" s="183"/>
      <c r="B216" s="165"/>
      <c r="C216" s="322"/>
      <c r="D216" s="323"/>
      <c r="E216" s="323"/>
      <c r="F216" s="323"/>
      <c r="G216" s="323"/>
      <c r="H216" s="138"/>
      <c r="I216" s="138"/>
      <c r="J216" s="138"/>
      <c r="K216" s="138"/>
      <c r="L216" s="138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X216" s="138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</row>
    <row r="217" spans="1:60" outlineLevel="1" x14ac:dyDescent="0.2">
      <c r="A217" s="184">
        <f>A213+1</f>
        <v>72</v>
      </c>
      <c r="B217" s="185" t="s">
        <v>148</v>
      </c>
      <c r="C217" s="189" t="s">
        <v>149</v>
      </c>
      <c r="D217" s="186" t="s">
        <v>106</v>
      </c>
      <c r="E217" s="187">
        <f>E76*0.05*1.9+E79*0.1*1.9+E82*0.15*1.9+E85*0.15*1.9+E88*0.2*2+E58+E91*0.35*2</f>
        <v>1036.6699999999998</v>
      </c>
      <c r="F217" s="188"/>
      <c r="G217" s="161">
        <f>ROUND(E217*F217,2)</f>
        <v>0</v>
      </c>
      <c r="H217" s="188">
        <v>0</v>
      </c>
      <c r="I217" s="161">
        <f>ROUND(E217*H217,2)</f>
        <v>0</v>
      </c>
      <c r="J217" s="188">
        <v>71.2</v>
      </c>
      <c r="K217" s="161">
        <f>ROUND(E217*J217,2)</f>
        <v>73810.899999999994</v>
      </c>
      <c r="L217" s="161">
        <v>21</v>
      </c>
      <c r="M217" s="161">
        <f>G217*(1+L217/100)</f>
        <v>0</v>
      </c>
      <c r="N217" s="161">
        <v>0</v>
      </c>
      <c r="O217" s="161">
        <f>ROUND(E217*N217,2)</f>
        <v>0</v>
      </c>
      <c r="P217" s="161">
        <v>0</v>
      </c>
      <c r="Q217" s="161">
        <f>ROUND(E217*P217,2)</f>
        <v>0</v>
      </c>
      <c r="R217" s="161" t="s">
        <v>98</v>
      </c>
      <c r="S217" s="161" t="s">
        <v>161</v>
      </c>
      <c r="T217" s="161" t="s">
        <v>161</v>
      </c>
      <c r="U217" s="138"/>
      <c r="V217" s="138"/>
      <c r="W217" s="138"/>
      <c r="X217" s="138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</row>
    <row r="218" spans="1:60" ht="33.75" outlineLevel="1" x14ac:dyDescent="0.2">
      <c r="A218" s="183"/>
      <c r="B218" s="165"/>
      <c r="C218" s="208" t="s">
        <v>303</v>
      </c>
      <c r="D218" s="209"/>
      <c r="E218" s="209"/>
      <c r="F218" s="209"/>
      <c r="G218" s="209"/>
      <c r="H218" s="190"/>
      <c r="I218" s="138"/>
      <c r="J218" s="190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</row>
    <row r="219" spans="1:60" outlineLevel="1" x14ac:dyDescent="0.2">
      <c r="A219" s="183"/>
      <c r="B219" s="165"/>
      <c r="C219" s="211" t="s">
        <v>313</v>
      </c>
      <c r="D219" s="212"/>
      <c r="E219" s="213">
        <f>E217</f>
        <v>1036.6699999999998</v>
      </c>
      <c r="F219" s="209"/>
      <c r="G219" s="209"/>
      <c r="H219" s="190"/>
      <c r="I219" s="138"/>
      <c r="J219" s="190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</row>
    <row r="220" spans="1:60" outlineLevel="1" x14ac:dyDescent="0.2">
      <c r="A220" s="183"/>
      <c r="B220" s="165"/>
      <c r="C220" s="195"/>
      <c r="D220" s="196"/>
      <c r="E220" s="196"/>
      <c r="F220" s="196"/>
      <c r="G220" s="196"/>
      <c r="H220" s="138"/>
      <c r="I220" s="138"/>
      <c r="J220" s="138"/>
      <c r="K220" s="138"/>
      <c r="L220" s="138"/>
      <c r="M220" s="138"/>
      <c r="N220" s="138"/>
      <c r="O220" s="138"/>
      <c r="P220" s="138"/>
      <c r="Q220" s="138"/>
      <c r="R220" s="138"/>
      <c r="S220" s="138"/>
      <c r="T220" s="138"/>
      <c r="U220" s="138"/>
      <c r="V220" s="138"/>
      <c r="W220" s="138"/>
      <c r="X220" s="138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</row>
    <row r="221" spans="1:60" outlineLevel="1" x14ac:dyDescent="0.2">
      <c r="A221" s="184">
        <f>A217+1</f>
        <v>73</v>
      </c>
      <c r="B221" s="185" t="s">
        <v>305</v>
      </c>
      <c r="C221" s="189" t="s">
        <v>304</v>
      </c>
      <c r="D221" s="186" t="s">
        <v>106</v>
      </c>
      <c r="E221" s="187">
        <f>E223</f>
        <v>533.71080000000006</v>
      </c>
      <c r="F221" s="188"/>
      <c r="G221" s="161">
        <f>ROUND(E221*F221,2)</f>
        <v>0</v>
      </c>
      <c r="H221" s="188">
        <v>0</v>
      </c>
      <c r="I221" s="161">
        <f>ROUND(E221*H221,2)</f>
        <v>0</v>
      </c>
      <c r="J221" s="188">
        <v>71.2</v>
      </c>
      <c r="K221" s="161">
        <f>ROUND(E221*J221,2)</f>
        <v>38000.21</v>
      </c>
      <c r="L221" s="161">
        <v>21</v>
      </c>
      <c r="M221" s="161">
        <f>G221*(1+L221/100)</f>
        <v>0</v>
      </c>
      <c r="N221" s="161">
        <v>0</v>
      </c>
      <c r="O221" s="161">
        <f>ROUND(E221*N221,2)</f>
        <v>0</v>
      </c>
      <c r="P221" s="161">
        <v>0</v>
      </c>
      <c r="Q221" s="161">
        <f>ROUND(E221*P221,2)</f>
        <v>0</v>
      </c>
      <c r="R221" s="161" t="s">
        <v>98</v>
      </c>
      <c r="S221" s="161" t="s">
        <v>161</v>
      </c>
      <c r="T221" s="161" t="s">
        <v>161</v>
      </c>
      <c r="U221" s="138"/>
      <c r="V221" s="138"/>
      <c r="W221" s="138"/>
      <c r="X221" s="138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</row>
    <row r="222" spans="1:60" ht="33.75" outlineLevel="1" x14ac:dyDescent="0.2">
      <c r="A222" s="183"/>
      <c r="B222" s="165"/>
      <c r="C222" s="208" t="s">
        <v>303</v>
      </c>
      <c r="D222" s="209"/>
      <c r="E222" s="209"/>
      <c r="F222" s="209"/>
      <c r="G222" s="209"/>
      <c r="H222" s="190"/>
      <c r="I222" s="138"/>
      <c r="J222" s="190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</row>
    <row r="223" spans="1:60" outlineLevel="1" x14ac:dyDescent="0.2">
      <c r="A223" s="183"/>
      <c r="B223" s="165"/>
      <c r="C223" s="211" t="s">
        <v>314</v>
      </c>
      <c r="D223" s="212"/>
      <c r="E223" s="213">
        <f>E128*0.04*2.53+E126*0.07*2.53+E94*0.12*2.5+E166*2.5+E170*0.3*0.4*2.5+E184*0.3*0.2*2.5+E97*0.15*2.5</f>
        <v>533.71080000000006</v>
      </c>
      <c r="F223" s="209"/>
      <c r="G223" s="209"/>
      <c r="H223" s="190"/>
      <c r="I223" s="138"/>
      <c r="J223" s="190"/>
      <c r="K223" s="138"/>
      <c r="L223" s="138"/>
      <c r="M223" s="138"/>
      <c r="N223" s="138"/>
      <c r="O223" s="138"/>
      <c r="P223" s="138"/>
      <c r="Q223" s="138"/>
      <c r="R223" s="138"/>
      <c r="S223" s="138"/>
      <c r="T223" s="138"/>
      <c r="U223" s="138"/>
      <c r="V223" s="138"/>
      <c r="W223" s="138"/>
      <c r="X223" s="138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</row>
    <row r="224" spans="1:60" outlineLevel="1" x14ac:dyDescent="0.2">
      <c r="A224" s="183"/>
      <c r="B224" s="165"/>
      <c r="C224" s="322"/>
      <c r="D224" s="323"/>
      <c r="E224" s="323"/>
      <c r="F224" s="323"/>
      <c r="G224" s="323"/>
      <c r="H224" s="138"/>
      <c r="I224" s="138"/>
      <c r="J224" s="138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</row>
    <row r="225" spans="1:60" outlineLevel="1" x14ac:dyDescent="0.2">
      <c r="A225" s="140" t="s">
        <v>88</v>
      </c>
      <c r="B225" s="141" t="s">
        <v>57</v>
      </c>
      <c r="C225" s="147" t="s">
        <v>58</v>
      </c>
      <c r="D225" s="142"/>
      <c r="E225" s="143"/>
      <c r="F225" s="144"/>
      <c r="G225" s="144">
        <f>SUMIF(AG226:AG240,"&lt;&gt;NOR",G226:G240)</f>
        <v>0</v>
      </c>
      <c r="H225" s="144"/>
      <c r="I225" s="144">
        <f>SUM(I226:I237)</f>
        <v>0</v>
      </c>
      <c r="J225" s="144"/>
      <c r="K225" s="144">
        <f>SUM(K226:K237)</f>
        <v>16274965</v>
      </c>
      <c r="L225" s="144"/>
      <c r="M225" s="144">
        <f>SUM(M226:M240)</f>
        <v>0</v>
      </c>
      <c r="N225" s="144"/>
      <c r="O225" s="144">
        <f>SUM(O226:O237)</f>
        <v>0</v>
      </c>
      <c r="P225" s="144"/>
      <c r="Q225" s="144">
        <f>SUM(Q226:Q237)</f>
        <v>0</v>
      </c>
      <c r="R225" s="144"/>
      <c r="S225" s="144"/>
      <c r="T225" s="145"/>
      <c r="U225" s="138"/>
      <c r="V225" s="138"/>
      <c r="W225" s="138"/>
      <c r="X225" s="138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</row>
    <row r="226" spans="1:60" ht="22.5" outlineLevel="1" x14ac:dyDescent="0.2">
      <c r="A226" s="184">
        <f>A221+1</f>
        <v>74</v>
      </c>
      <c r="B226" s="185" t="s">
        <v>327</v>
      </c>
      <c r="C226" s="189" t="s">
        <v>328</v>
      </c>
      <c r="D226" s="186" t="s">
        <v>106</v>
      </c>
      <c r="E226" s="187">
        <f>E227</f>
        <v>1081.9390000000001</v>
      </c>
      <c r="F226" s="188"/>
      <c r="G226" s="161">
        <f>ROUND(E226*F226,2)</f>
        <v>0</v>
      </c>
      <c r="H226" s="188">
        <v>0</v>
      </c>
      <c r="I226" s="161">
        <f>ROUND(E226*H226,2)</f>
        <v>0</v>
      </c>
      <c r="J226" s="188">
        <v>740</v>
      </c>
      <c r="K226" s="161">
        <f>ROUND(E226*J226,2)</f>
        <v>800634.86</v>
      </c>
      <c r="L226" s="161">
        <v>21</v>
      </c>
      <c r="M226" s="161">
        <f>G226*(1+L226/100)</f>
        <v>0</v>
      </c>
      <c r="N226" s="161">
        <v>0</v>
      </c>
      <c r="O226" s="161">
        <f>ROUND(E226*N226,2)</f>
        <v>0</v>
      </c>
      <c r="P226" s="161">
        <v>0</v>
      </c>
      <c r="Q226" s="161">
        <f>ROUND(E226*P226,2)</f>
        <v>0</v>
      </c>
      <c r="R226" s="161" t="s">
        <v>98</v>
      </c>
      <c r="S226" s="161" t="s">
        <v>161</v>
      </c>
      <c r="T226" s="161" t="s">
        <v>161</v>
      </c>
      <c r="U226" s="138"/>
      <c r="V226" s="138"/>
      <c r="W226" s="138"/>
      <c r="X226" s="138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</row>
    <row r="227" spans="1:60" ht="12.75" customHeight="1" outlineLevel="1" x14ac:dyDescent="0.2">
      <c r="A227" s="183"/>
      <c r="B227" s="165"/>
      <c r="C227" s="211" t="s">
        <v>388</v>
      </c>
      <c r="D227" s="212"/>
      <c r="E227" s="213">
        <f>E233+E236+E239</f>
        <v>1081.9390000000001</v>
      </c>
      <c r="F227" s="209"/>
      <c r="G227" s="209"/>
      <c r="H227" s="138"/>
      <c r="I227" s="138"/>
      <c r="J227" s="138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</row>
    <row r="228" spans="1:60" outlineLevel="1" x14ac:dyDescent="0.2">
      <c r="A228" s="183"/>
      <c r="B228" s="165"/>
      <c r="C228" s="322"/>
      <c r="D228" s="323"/>
      <c r="E228" s="323"/>
      <c r="F228" s="323"/>
      <c r="G228" s="323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</row>
    <row r="229" spans="1:60" ht="22.5" outlineLevel="1" x14ac:dyDescent="0.2">
      <c r="A229" s="184">
        <f>A226+1</f>
        <v>75</v>
      </c>
      <c r="B229" s="185" t="s">
        <v>330</v>
      </c>
      <c r="C229" s="189" t="s">
        <v>329</v>
      </c>
      <c r="D229" s="186" t="s">
        <v>106</v>
      </c>
      <c r="E229" s="187">
        <f>E230</f>
        <v>20556.841</v>
      </c>
      <c r="F229" s="188"/>
      <c r="G229" s="161">
        <f>ROUND(E229*F229,2)</f>
        <v>0</v>
      </c>
      <c r="H229" s="188">
        <v>0</v>
      </c>
      <c r="I229" s="161">
        <f>ROUND(E229*H229,2)</f>
        <v>0</v>
      </c>
      <c r="J229" s="188">
        <v>740</v>
      </c>
      <c r="K229" s="161">
        <f>ROUND(E229*J229,2)</f>
        <v>15212062.34</v>
      </c>
      <c r="L229" s="161">
        <v>21</v>
      </c>
      <c r="M229" s="161">
        <f>G229*(1+L229/100)</f>
        <v>0</v>
      </c>
      <c r="N229" s="161">
        <v>0</v>
      </c>
      <c r="O229" s="161">
        <f>ROUND(E229*N229,2)</f>
        <v>0</v>
      </c>
      <c r="P229" s="161">
        <v>0</v>
      </c>
      <c r="Q229" s="161">
        <f>ROUND(E229*P229,2)</f>
        <v>0</v>
      </c>
      <c r="R229" s="161" t="s">
        <v>98</v>
      </c>
      <c r="S229" s="161" t="s">
        <v>161</v>
      </c>
      <c r="T229" s="161" t="s">
        <v>161</v>
      </c>
      <c r="U229" s="138"/>
      <c r="V229" s="138"/>
      <c r="W229" s="138"/>
      <c r="X229" s="138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</row>
    <row r="230" spans="1:60" outlineLevel="1" x14ac:dyDescent="0.2">
      <c r="A230" s="183"/>
      <c r="B230" s="165"/>
      <c r="C230" s="211" t="s">
        <v>331</v>
      </c>
      <c r="D230" s="212"/>
      <c r="E230" s="213">
        <f>E227*19</f>
        <v>20556.841</v>
      </c>
      <c r="F230" s="209"/>
      <c r="G230" s="209"/>
      <c r="H230" s="138"/>
      <c r="I230" s="138"/>
      <c r="J230" s="138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</row>
    <row r="231" spans="1:60" outlineLevel="1" x14ac:dyDescent="0.2">
      <c r="A231" s="183"/>
      <c r="B231" s="165"/>
      <c r="C231" s="195"/>
      <c r="D231" s="196"/>
      <c r="E231" s="196"/>
      <c r="F231" s="196"/>
      <c r="G231" s="196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</row>
    <row r="232" spans="1:60" outlineLevel="1" x14ac:dyDescent="0.2">
      <c r="A232" s="184">
        <f>A229+1</f>
        <v>76</v>
      </c>
      <c r="B232" s="185" t="s">
        <v>318</v>
      </c>
      <c r="C232" s="189" t="s">
        <v>316</v>
      </c>
      <c r="D232" s="186" t="s">
        <v>106</v>
      </c>
      <c r="E232" s="187">
        <f>E233</f>
        <v>48.625999999999998</v>
      </c>
      <c r="F232" s="188"/>
      <c r="G232" s="161">
        <f>ROUND(E232*F232,2)</f>
        <v>0</v>
      </c>
      <c r="H232" s="188">
        <v>0</v>
      </c>
      <c r="I232" s="161">
        <f>ROUND(E232*H232,2)</f>
        <v>0</v>
      </c>
      <c r="J232" s="188">
        <v>300</v>
      </c>
      <c r="K232" s="161">
        <f>ROUND(E232*J232,2)</f>
        <v>14587.8</v>
      </c>
      <c r="L232" s="161">
        <v>21</v>
      </c>
      <c r="M232" s="161">
        <f>G232*(1+L232/100)</f>
        <v>0</v>
      </c>
      <c r="N232" s="161">
        <v>0</v>
      </c>
      <c r="O232" s="161">
        <f>ROUND(E232*N232,2)</f>
        <v>0</v>
      </c>
      <c r="P232" s="161">
        <v>0</v>
      </c>
      <c r="Q232" s="161">
        <f>ROUND(E232*P232,2)</f>
        <v>0</v>
      </c>
      <c r="R232" s="161" t="s">
        <v>150</v>
      </c>
      <c r="S232" s="161" t="s">
        <v>161</v>
      </c>
      <c r="T232" s="161" t="s">
        <v>161</v>
      </c>
      <c r="U232" s="138"/>
      <c r="V232" s="138"/>
      <c r="W232" s="138"/>
      <c r="X232" s="138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</row>
    <row r="233" spans="1:60" outlineLevel="1" x14ac:dyDescent="0.2">
      <c r="A233" s="183"/>
      <c r="B233" s="165"/>
      <c r="C233" s="211" t="s">
        <v>385</v>
      </c>
      <c r="D233" s="212"/>
      <c r="E233" s="213">
        <f>4*0.6*0.6*1.2*2+62*0.3*0.3*2.5+41.92*0.15*2.5+77.5*0.08*2.5</f>
        <v>48.625999999999998</v>
      </c>
      <c r="F233" s="209"/>
      <c r="G233" s="209"/>
      <c r="H233" s="190"/>
      <c r="I233" s="138"/>
      <c r="J233" s="190"/>
      <c r="K233" s="138"/>
      <c r="L233" s="138"/>
      <c r="M233" s="138"/>
      <c r="N233" s="138"/>
      <c r="O233" s="138"/>
      <c r="P233" s="138"/>
      <c r="Q233" s="138"/>
      <c r="R233" s="138"/>
      <c r="S233" s="138"/>
      <c r="T233" s="138"/>
      <c r="U233" s="138"/>
      <c r="V233" s="138"/>
      <c r="W233" s="138"/>
      <c r="X233" s="138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</row>
    <row r="234" spans="1:60" outlineLevel="1" x14ac:dyDescent="0.2">
      <c r="A234" s="183"/>
      <c r="B234" s="165"/>
      <c r="C234" s="195"/>
      <c r="D234" s="196"/>
      <c r="E234" s="196"/>
      <c r="F234" s="196"/>
      <c r="G234" s="196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</row>
    <row r="235" spans="1:60" ht="12.75" customHeight="1" outlineLevel="1" x14ac:dyDescent="0.2">
      <c r="A235" s="184">
        <f>A232+1</f>
        <v>77</v>
      </c>
      <c r="B235" s="185" t="s">
        <v>320</v>
      </c>
      <c r="C235" s="189" t="s">
        <v>317</v>
      </c>
      <c r="D235" s="186" t="s">
        <v>106</v>
      </c>
      <c r="E235" s="187">
        <f>E236</f>
        <v>825.6</v>
      </c>
      <c r="F235" s="188"/>
      <c r="G235" s="161">
        <f>ROUND(E235*F235,2)</f>
        <v>0</v>
      </c>
      <c r="H235" s="188">
        <v>0</v>
      </c>
      <c r="I235" s="161">
        <f>ROUND(E235*H235,2)</f>
        <v>0</v>
      </c>
      <c r="J235" s="188">
        <v>300</v>
      </c>
      <c r="K235" s="161">
        <f>ROUND(E235*J235,2)</f>
        <v>247680</v>
      </c>
      <c r="L235" s="161">
        <v>21</v>
      </c>
      <c r="M235" s="161">
        <f>G235*(1+L235/100)</f>
        <v>0</v>
      </c>
      <c r="N235" s="161">
        <v>0</v>
      </c>
      <c r="O235" s="161">
        <f>ROUND(E235*N235,2)</f>
        <v>0</v>
      </c>
      <c r="P235" s="161">
        <v>0</v>
      </c>
      <c r="Q235" s="161">
        <f>ROUND(E235*P235,2)</f>
        <v>0</v>
      </c>
      <c r="R235" s="161" t="s">
        <v>150</v>
      </c>
      <c r="S235" s="161" t="s">
        <v>161</v>
      </c>
      <c r="T235" s="161" t="s">
        <v>161</v>
      </c>
      <c r="U235" s="138"/>
      <c r="V235" s="138"/>
      <c r="W235" s="138"/>
      <c r="X235" s="138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</row>
    <row r="236" spans="1:60" outlineLevel="1" x14ac:dyDescent="0.2">
      <c r="A236" s="183"/>
      <c r="B236" s="165"/>
      <c r="C236" s="211" t="s">
        <v>386</v>
      </c>
      <c r="D236" s="212"/>
      <c r="E236" s="213">
        <f>1376*0.3*2</f>
        <v>825.6</v>
      </c>
      <c r="F236" s="209"/>
      <c r="G236" s="209"/>
      <c r="H236" s="190"/>
      <c r="I236" s="138"/>
      <c r="J236" s="190"/>
      <c r="K236" s="138"/>
      <c r="L236" s="138"/>
      <c r="M236" s="138"/>
      <c r="N236" s="138"/>
      <c r="O236" s="138"/>
      <c r="P236" s="138"/>
      <c r="Q236" s="138"/>
      <c r="R236" s="138"/>
      <c r="S236" s="138"/>
      <c r="T236" s="138"/>
      <c r="U236" s="138"/>
      <c r="V236" s="138"/>
      <c r="W236" s="138"/>
      <c r="X236" s="138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</row>
    <row r="237" spans="1:60" outlineLevel="1" x14ac:dyDescent="0.2">
      <c r="A237" s="183"/>
      <c r="B237" s="165"/>
      <c r="C237" s="322"/>
      <c r="D237" s="323"/>
      <c r="E237" s="323"/>
      <c r="F237" s="323"/>
      <c r="G237" s="323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</row>
    <row r="238" spans="1:60" outlineLevel="1" x14ac:dyDescent="0.2">
      <c r="A238" s="184">
        <f>A235+1</f>
        <v>78</v>
      </c>
      <c r="B238" s="185" t="s">
        <v>319</v>
      </c>
      <c r="C238" s="189" t="s">
        <v>315</v>
      </c>
      <c r="D238" s="186" t="s">
        <v>106</v>
      </c>
      <c r="E238" s="187">
        <f>E239</f>
        <v>207.71299999999999</v>
      </c>
      <c r="F238" s="188"/>
      <c r="G238" s="161">
        <f>ROUND(E238*F238,2)</f>
        <v>0</v>
      </c>
      <c r="H238" s="188">
        <v>0</v>
      </c>
      <c r="I238" s="161">
        <f>ROUND(E238*H238,2)</f>
        <v>0</v>
      </c>
      <c r="J238" s="188">
        <v>300</v>
      </c>
      <c r="K238" s="161">
        <f>ROUND(E238*J238,2)</f>
        <v>62313.9</v>
      </c>
      <c r="L238" s="161">
        <v>21</v>
      </c>
      <c r="M238" s="161">
        <f>G238*(1+L238/100)</f>
        <v>0</v>
      </c>
      <c r="N238" s="161">
        <v>0</v>
      </c>
      <c r="O238" s="161">
        <f>ROUND(E238*N238,2)</f>
        <v>0</v>
      </c>
      <c r="P238" s="161">
        <v>0</v>
      </c>
      <c r="Q238" s="161">
        <f>ROUND(E238*P238,2)</f>
        <v>0</v>
      </c>
      <c r="R238" s="161" t="s">
        <v>150</v>
      </c>
      <c r="S238" s="161" t="s">
        <v>161</v>
      </c>
      <c r="T238" s="161" t="s">
        <v>161</v>
      </c>
      <c r="U238" s="138"/>
      <c r="V238" s="138"/>
      <c r="W238" s="138"/>
      <c r="X238" s="138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</row>
    <row r="239" spans="1:60" outlineLevel="1" x14ac:dyDescent="0.2">
      <c r="A239" s="183"/>
      <c r="B239" s="165"/>
      <c r="C239" s="211" t="s">
        <v>387</v>
      </c>
      <c r="D239" s="212"/>
      <c r="E239" s="213">
        <f>821*0.1*2.53</f>
        <v>207.71299999999999</v>
      </c>
      <c r="F239" s="209"/>
      <c r="G239" s="209"/>
      <c r="H239" s="190"/>
      <c r="I239" s="138"/>
      <c r="J239" s="190"/>
      <c r="K239" s="138"/>
      <c r="L239" s="138"/>
      <c r="M239" s="138"/>
      <c r="N239" s="138"/>
      <c r="O239" s="138"/>
      <c r="P239" s="138"/>
      <c r="Q239" s="138"/>
      <c r="R239" s="138"/>
      <c r="S239" s="138"/>
      <c r="T239" s="138"/>
      <c r="U239" s="138"/>
      <c r="V239" s="138"/>
      <c r="W239" s="138"/>
      <c r="X239" s="138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</row>
    <row r="240" spans="1:60" outlineLevel="1" x14ac:dyDescent="0.2">
      <c r="A240" s="183"/>
      <c r="B240" s="165"/>
      <c r="C240" s="195"/>
      <c r="D240" s="196"/>
      <c r="E240" s="196"/>
      <c r="F240" s="196"/>
      <c r="G240" s="196"/>
      <c r="H240" s="138"/>
      <c r="I240" s="138"/>
      <c r="J240" s="138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</row>
    <row r="241" spans="1:60" outlineLevel="1" x14ac:dyDescent="0.2">
      <c r="A241" s="140" t="s">
        <v>88</v>
      </c>
      <c r="B241" s="141" t="s">
        <v>60</v>
      </c>
      <c r="C241" s="147" t="s">
        <v>26</v>
      </c>
      <c r="D241" s="142"/>
      <c r="E241" s="143"/>
      <c r="F241" s="144"/>
      <c r="G241" s="144">
        <f>G242+G245+G248+G251</f>
        <v>0</v>
      </c>
      <c r="H241" s="144"/>
      <c r="I241" s="144">
        <f>SUM(I245:I247)</f>
        <v>0</v>
      </c>
      <c r="J241" s="144"/>
      <c r="K241" s="144">
        <f>SUM(K245:K247)</f>
        <v>0</v>
      </c>
      <c r="L241" s="144"/>
      <c r="M241" s="144">
        <f>M242+M245+M248+M251</f>
        <v>0</v>
      </c>
      <c r="N241" s="144"/>
      <c r="O241" s="144">
        <f>SUM(O245:O247)</f>
        <v>0</v>
      </c>
      <c r="P241" s="144"/>
      <c r="Q241" s="144">
        <f>SUM(Q245:Q247)</f>
        <v>0</v>
      </c>
      <c r="R241" s="144"/>
      <c r="S241" s="144"/>
      <c r="T241" s="145"/>
      <c r="U241" s="138"/>
      <c r="V241" s="138"/>
      <c r="W241" s="138"/>
      <c r="X241" s="138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</row>
    <row r="242" spans="1:60" outlineLevel="1" x14ac:dyDescent="0.2">
      <c r="A242" s="184">
        <f>A238+1</f>
        <v>79</v>
      </c>
      <c r="B242" s="185" t="s">
        <v>115</v>
      </c>
      <c r="C242" s="189" t="s">
        <v>151</v>
      </c>
      <c r="D242" s="186" t="s">
        <v>94</v>
      </c>
      <c r="E242" s="187">
        <v>1</v>
      </c>
      <c r="F242" s="188"/>
      <c r="G242" s="161">
        <f>ROUND(E242*F242,2)</f>
        <v>0</v>
      </c>
      <c r="H242" s="188">
        <v>0</v>
      </c>
      <c r="I242" s="161">
        <f>ROUND(E242*H242,2)</f>
        <v>0</v>
      </c>
      <c r="J242" s="188">
        <v>0</v>
      </c>
      <c r="K242" s="161">
        <f>ROUND(E242*J242,2)</f>
        <v>0</v>
      </c>
      <c r="L242" s="161">
        <v>21</v>
      </c>
      <c r="M242" s="161">
        <f>G242*(1+L242/100)</f>
        <v>0</v>
      </c>
      <c r="N242" s="161">
        <v>0</v>
      </c>
      <c r="O242" s="161">
        <f>ROUND(E242*N242,2)</f>
        <v>0</v>
      </c>
      <c r="P242" s="161">
        <v>0</v>
      </c>
      <c r="Q242" s="161">
        <f>ROUND(E242*P242,2)</f>
        <v>0</v>
      </c>
      <c r="R242" s="161"/>
      <c r="S242" s="161" t="s">
        <v>161</v>
      </c>
      <c r="T242" s="162" t="s">
        <v>95</v>
      </c>
      <c r="U242" s="138"/>
      <c r="V242" s="138"/>
      <c r="W242" s="138"/>
      <c r="X242" s="138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</row>
    <row r="243" spans="1:60" outlineLevel="1" x14ac:dyDescent="0.2">
      <c r="A243" s="183"/>
      <c r="B243" s="165"/>
      <c r="C243" s="327" t="s">
        <v>332</v>
      </c>
      <c r="D243" s="328"/>
      <c r="E243" s="328"/>
      <c r="F243" s="328"/>
      <c r="G243" s="32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</row>
    <row r="244" spans="1:60" outlineLevel="1" x14ac:dyDescent="0.2">
      <c r="A244" s="183"/>
      <c r="B244" s="165"/>
      <c r="C244" s="322"/>
      <c r="D244" s="323"/>
      <c r="E244" s="323"/>
      <c r="F244" s="323"/>
      <c r="G244" s="323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</row>
    <row r="245" spans="1:60" outlineLevel="1" x14ac:dyDescent="0.2">
      <c r="A245" s="184">
        <f>A242+1</f>
        <v>80</v>
      </c>
      <c r="B245" s="185" t="s">
        <v>152</v>
      </c>
      <c r="C245" s="189" t="s">
        <v>153</v>
      </c>
      <c r="D245" s="186" t="s">
        <v>94</v>
      </c>
      <c r="E245" s="187">
        <v>1</v>
      </c>
      <c r="F245" s="188"/>
      <c r="G245" s="161">
        <f>ROUND(E245*F245,2)</f>
        <v>0</v>
      </c>
      <c r="H245" s="188">
        <v>0</v>
      </c>
      <c r="I245" s="161">
        <f>ROUND(E245*H245,2)</f>
        <v>0</v>
      </c>
      <c r="J245" s="188">
        <v>0</v>
      </c>
      <c r="K245" s="161">
        <f>ROUND(E245*J245,2)</f>
        <v>0</v>
      </c>
      <c r="L245" s="161">
        <v>21</v>
      </c>
      <c r="M245" s="161">
        <f>G245*(1+L245/100)</f>
        <v>0</v>
      </c>
      <c r="N245" s="161">
        <v>0</v>
      </c>
      <c r="O245" s="161">
        <f>ROUND(E245*N245,2)</f>
        <v>0</v>
      </c>
      <c r="P245" s="161">
        <v>0</v>
      </c>
      <c r="Q245" s="161">
        <f>ROUND(E245*P245,2)</f>
        <v>0</v>
      </c>
      <c r="R245" s="161"/>
      <c r="S245" s="161" t="s">
        <v>161</v>
      </c>
      <c r="T245" s="162" t="s">
        <v>95</v>
      </c>
      <c r="U245" s="138"/>
      <c r="V245" s="138"/>
      <c r="W245" s="138"/>
      <c r="X245" s="138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</row>
    <row r="246" spans="1:60" ht="22.9" customHeight="1" outlineLevel="1" x14ac:dyDescent="0.2">
      <c r="A246" s="183"/>
      <c r="B246" s="165"/>
      <c r="C246" s="327" t="s">
        <v>154</v>
      </c>
      <c r="D246" s="328"/>
      <c r="E246" s="328"/>
      <c r="F246" s="328"/>
      <c r="G246" s="328"/>
      <c r="H246" s="138"/>
      <c r="I246" s="138"/>
      <c r="J246" s="138"/>
      <c r="K246" s="138"/>
      <c r="L246" s="138"/>
      <c r="M246" s="138"/>
      <c r="N246" s="138"/>
      <c r="O246" s="138"/>
      <c r="P246" s="138"/>
      <c r="Q246" s="138"/>
      <c r="R246" s="138"/>
      <c r="S246" s="138"/>
      <c r="T246" s="138"/>
      <c r="U246" s="138"/>
      <c r="V246" s="138"/>
      <c r="W246" s="138"/>
      <c r="X246" s="138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</row>
    <row r="247" spans="1:60" outlineLevel="1" x14ac:dyDescent="0.2">
      <c r="A247" s="183"/>
      <c r="B247" s="165"/>
      <c r="C247" s="322"/>
      <c r="D247" s="323"/>
      <c r="E247" s="323"/>
      <c r="F247" s="323"/>
      <c r="G247" s="323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</row>
    <row r="248" spans="1:60" outlineLevel="1" x14ac:dyDescent="0.2">
      <c r="A248" s="184">
        <f>A245+1</f>
        <v>81</v>
      </c>
      <c r="B248" s="185" t="s">
        <v>114</v>
      </c>
      <c r="C248" s="189" t="s">
        <v>93</v>
      </c>
      <c r="D248" s="186" t="s">
        <v>94</v>
      </c>
      <c r="E248" s="187">
        <v>1</v>
      </c>
      <c r="F248" s="188"/>
      <c r="G248" s="161">
        <f>ROUND(E248*F248,2)</f>
        <v>0</v>
      </c>
      <c r="H248" s="188">
        <v>0</v>
      </c>
      <c r="I248" s="161">
        <f>ROUND(E248*H248,2)</f>
        <v>0</v>
      </c>
      <c r="J248" s="188">
        <v>0</v>
      </c>
      <c r="K248" s="161">
        <f>ROUND(E248*J248,2)</f>
        <v>0</v>
      </c>
      <c r="L248" s="161">
        <v>21</v>
      </c>
      <c r="M248" s="161">
        <f>G248*(1+L248/100)</f>
        <v>0</v>
      </c>
      <c r="N248" s="161">
        <v>0</v>
      </c>
      <c r="O248" s="161">
        <f>ROUND(E248*N248,2)</f>
        <v>0</v>
      </c>
      <c r="P248" s="161">
        <v>0</v>
      </c>
      <c r="Q248" s="161">
        <f>ROUND(E248*P248,2)</f>
        <v>0</v>
      </c>
      <c r="R248" s="161"/>
      <c r="S248" s="161" t="s">
        <v>161</v>
      </c>
      <c r="T248" s="162" t="s">
        <v>95</v>
      </c>
      <c r="U248" s="138"/>
      <c r="V248" s="138"/>
      <c r="W248" s="138"/>
      <c r="X248" s="138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</row>
    <row r="249" spans="1:60" outlineLevel="1" x14ac:dyDescent="0.2">
      <c r="A249" s="183"/>
      <c r="B249" s="165"/>
      <c r="C249" s="327" t="s">
        <v>333</v>
      </c>
      <c r="D249" s="328"/>
      <c r="E249" s="328"/>
      <c r="F249" s="328"/>
      <c r="G249" s="328"/>
      <c r="H249" s="190"/>
      <c r="I249" s="138"/>
      <c r="J249" s="190"/>
      <c r="K249" s="138"/>
      <c r="L249" s="138"/>
      <c r="M249" s="138"/>
      <c r="N249" s="138"/>
      <c r="O249" s="138"/>
      <c r="P249" s="138"/>
      <c r="Q249" s="138"/>
      <c r="R249" s="138"/>
      <c r="S249" s="138"/>
      <c r="T249" s="138"/>
      <c r="U249" s="138"/>
      <c r="V249" s="138"/>
      <c r="W249" s="138"/>
      <c r="X249" s="138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</row>
    <row r="250" spans="1:60" outlineLevel="1" x14ac:dyDescent="0.2">
      <c r="A250" s="183"/>
      <c r="B250" s="165"/>
      <c r="C250" s="322"/>
      <c r="D250" s="323"/>
      <c r="E250" s="323"/>
      <c r="F250" s="323"/>
      <c r="G250" s="323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</row>
    <row r="251" spans="1:60" outlineLevel="1" x14ac:dyDescent="0.2">
      <c r="A251" s="184">
        <f>A248+1</f>
        <v>82</v>
      </c>
      <c r="B251" s="185" t="s">
        <v>96</v>
      </c>
      <c r="C251" s="189" t="s">
        <v>97</v>
      </c>
      <c r="D251" s="186" t="s">
        <v>94</v>
      </c>
      <c r="E251" s="187">
        <v>1</v>
      </c>
      <c r="F251" s="188"/>
      <c r="G251" s="161">
        <f>ROUND(E251*F251,2)</f>
        <v>0</v>
      </c>
      <c r="H251" s="188">
        <v>0</v>
      </c>
      <c r="I251" s="161">
        <f>ROUND(E251*H251,2)</f>
        <v>0</v>
      </c>
      <c r="J251" s="188">
        <v>0</v>
      </c>
      <c r="K251" s="161">
        <f>ROUND(E251*J251,2)</f>
        <v>0</v>
      </c>
      <c r="L251" s="161">
        <v>21</v>
      </c>
      <c r="M251" s="161">
        <f>G251*(1+L251/100)</f>
        <v>0</v>
      </c>
      <c r="N251" s="161">
        <v>0</v>
      </c>
      <c r="O251" s="161">
        <f>ROUND(E251*N251,2)</f>
        <v>0</v>
      </c>
      <c r="P251" s="161">
        <v>0</v>
      </c>
      <c r="Q251" s="161">
        <f>ROUND(E251*P251,2)</f>
        <v>0</v>
      </c>
      <c r="R251" s="161"/>
      <c r="S251" s="161" t="s">
        <v>161</v>
      </c>
      <c r="T251" s="162" t="s">
        <v>95</v>
      </c>
      <c r="U251" s="138"/>
      <c r="V251" s="138"/>
      <c r="W251" s="138"/>
      <c r="X251" s="138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</row>
    <row r="252" spans="1:60" ht="24" customHeight="1" outlineLevel="1" x14ac:dyDescent="0.2">
      <c r="A252" s="183"/>
      <c r="B252" s="165"/>
      <c r="C252" s="327" t="s">
        <v>155</v>
      </c>
      <c r="D252" s="328"/>
      <c r="E252" s="328"/>
      <c r="F252" s="328"/>
      <c r="G252" s="328"/>
      <c r="H252" s="138"/>
      <c r="I252" s="138"/>
      <c r="J252" s="138"/>
      <c r="K252" s="138"/>
      <c r="L252" s="138"/>
      <c r="M252" s="138"/>
      <c r="N252" s="138"/>
      <c r="O252" s="138"/>
      <c r="P252" s="138"/>
      <c r="Q252" s="138"/>
      <c r="R252" s="138"/>
      <c r="S252" s="138"/>
      <c r="T252" s="138"/>
      <c r="U252" s="138"/>
      <c r="V252" s="138"/>
      <c r="W252" s="138"/>
      <c r="X252" s="138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</row>
    <row r="253" spans="1:60" outlineLevel="1" x14ac:dyDescent="0.2">
      <c r="A253" s="183"/>
      <c r="B253" s="165"/>
      <c r="C253" s="195"/>
      <c r="D253" s="196"/>
      <c r="E253" s="196"/>
      <c r="F253" s="196"/>
      <c r="G253" s="196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</row>
    <row r="254" spans="1:60" ht="13.15" customHeight="1" outlineLevel="1" x14ac:dyDescent="0.2">
      <c r="A254" s="140" t="s">
        <v>88</v>
      </c>
      <c r="B254" s="141" t="s">
        <v>61</v>
      </c>
      <c r="C254" s="147" t="s">
        <v>27</v>
      </c>
      <c r="D254" s="142"/>
      <c r="E254" s="143"/>
      <c r="F254" s="144"/>
      <c r="G254" s="144">
        <f>SUMIF(AG255:AG266,"&lt;&gt;NOR",G255:G266)</f>
        <v>0</v>
      </c>
      <c r="H254" s="144"/>
      <c r="I254" s="144">
        <f>SUM(I255:I266)</f>
        <v>0</v>
      </c>
      <c r="J254" s="144"/>
      <c r="K254" s="144">
        <f>SUM(K255:K266)</f>
        <v>0</v>
      </c>
      <c r="L254" s="144"/>
      <c r="M254" s="144">
        <f>SUM(M255:M266)</f>
        <v>0</v>
      </c>
      <c r="N254" s="144"/>
      <c r="O254" s="144">
        <f>SUM(O255:O266)</f>
        <v>0</v>
      </c>
      <c r="P254" s="144"/>
      <c r="Q254" s="144">
        <f>SUM(Q255:Q266)</f>
        <v>0</v>
      </c>
      <c r="R254" s="144"/>
      <c r="S254" s="144"/>
      <c r="T254" s="145"/>
      <c r="U254" s="138"/>
      <c r="V254" s="138"/>
      <c r="W254" s="138"/>
      <c r="X254" s="138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</row>
    <row r="255" spans="1:60" outlineLevel="1" x14ac:dyDescent="0.2">
      <c r="A255" s="184">
        <f>A251+1</f>
        <v>83</v>
      </c>
      <c r="B255" s="185" t="s">
        <v>108</v>
      </c>
      <c r="C255" s="189" t="s">
        <v>109</v>
      </c>
      <c r="D255" s="186" t="s">
        <v>94</v>
      </c>
      <c r="E255" s="187">
        <v>1</v>
      </c>
      <c r="F255" s="188"/>
      <c r="G255" s="161">
        <f>ROUND(E255*F255,2)</f>
        <v>0</v>
      </c>
      <c r="H255" s="188">
        <v>0</v>
      </c>
      <c r="I255" s="161">
        <f>ROUND(E255*H255,2)</f>
        <v>0</v>
      </c>
      <c r="J255" s="188">
        <v>0</v>
      </c>
      <c r="K255" s="161">
        <f>ROUND(E255*J255,2)</f>
        <v>0</v>
      </c>
      <c r="L255" s="161">
        <v>21</v>
      </c>
      <c r="M255" s="161">
        <f>G255*(1+L255/100)</f>
        <v>0</v>
      </c>
      <c r="N255" s="161">
        <v>0</v>
      </c>
      <c r="O255" s="161">
        <f>ROUND(E255*N255,2)</f>
        <v>0</v>
      </c>
      <c r="P255" s="161">
        <v>0</v>
      </c>
      <c r="Q255" s="161">
        <f>ROUND(E255*P255,2)</f>
        <v>0</v>
      </c>
      <c r="R255" s="161"/>
      <c r="S255" s="161" t="s">
        <v>161</v>
      </c>
      <c r="T255" s="162" t="s">
        <v>95</v>
      </c>
      <c r="U255" s="138"/>
      <c r="V255" s="138"/>
      <c r="W255" s="138"/>
      <c r="X255" s="138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</row>
    <row r="256" spans="1:60" ht="35.25" customHeight="1" outlineLevel="1" x14ac:dyDescent="0.2">
      <c r="A256" s="183"/>
      <c r="B256" s="165"/>
      <c r="C256" s="327" t="s">
        <v>156</v>
      </c>
      <c r="D256" s="328"/>
      <c r="E256" s="328"/>
      <c r="F256" s="328"/>
      <c r="G256" s="32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</row>
    <row r="257" spans="1:60" outlineLevel="1" x14ac:dyDescent="0.2">
      <c r="A257" s="183"/>
      <c r="B257" s="165"/>
      <c r="C257" s="322"/>
      <c r="D257" s="323"/>
      <c r="E257" s="323"/>
      <c r="F257" s="323"/>
      <c r="G257" s="323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</row>
    <row r="258" spans="1:60" outlineLevel="1" x14ac:dyDescent="0.2">
      <c r="A258" s="184">
        <f>A255+1</f>
        <v>84</v>
      </c>
      <c r="B258" s="185" t="s">
        <v>110</v>
      </c>
      <c r="C258" s="189" t="s">
        <v>336</v>
      </c>
      <c r="D258" s="186" t="s">
        <v>94</v>
      </c>
      <c r="E258" s="187">
        <v>1</v>
      </c>
      <c r="F258" s="188"/>
      <c r="G258" s="161">
        <f>ROUND(E258*F258,2)</f>
        <v>0</v>
      </c>
      <c r="H258" s="188">
        <v>0</v>
      </c>
      <c r="I258" s="161">
        <f>ROUND(E258*H258,2)</f>
        <v>0</v>
      </c>
      <c r="J258" s="188">
        <v>0</v>
      </c>
      <c r="K258" s="161">
        <f>ROUND(E258*J258,2)</f>
        <v>0</v>
      </c>
      <c r="L258" s="161">
        <v>21</v>
      </c>
      <c r="M258" s="161">
        <f>G258*(1+L258/100)</f>
        <v>0</v>
      </c>
      <c r="N258" s="161">
        <v>0</v>
      </c>
      <c r="O258" s="161">
        <f>ROUND(E258*N258,2)</f>
        <v>0</v>
      </c>
      <c r="P258" s="161">
        <v>0</v>
      </c>
      <c r="Q258" s="161">
        <f>ROUND(E258*P258,2)</f>
        <v>0</v>
      </c>
      <c r="R258" s="161"/>
      <c r="S258" s="161" t="s">
        <v>161</v>
      </c>
      <c r="T258" s="162" t="s">
        <v>95</v>
      </c>
      <c r="U258" s="138"/>
      <c r="V258" s="138"/>
      <c r="W258" s="138"/>
      <c r="X258" s="138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</row>
    <row r="259" spans="1:60" ht="34.5" customHeight="1" outlineLevel="1" x14ac:dyDescent="0.2">
      <c r="A259" s="183"/>
      <c r="B259" s="165"/>
      <c r="C259" s="327" t="s">
        <v>337</v>
      </c>
      <c r="D259" s="328"/>
      <c r="E259" s="328"/>
      <c r="F259" s="328"/>
      <c r="G259" s="328"/>
      <c r="H259" s="138"/>
      <c r="I259" s="138"/>
      <c r="J259" s="138"/>
      <c r="K259" s="138"/>
      <c r="L259" s="138"/>
      <c r="M259" s="138"/>
      <c r="N259" s="138"/>
      <c r="O259" s="138"/>
      <c r="P259" s="138"/>
      <c r="Q259" s="138"/>
      <c r="R259" s="138"/>
      <c r="S259" s="138"/>
      <c r="T259" s="138"/>
      <c r="U259" s="138"/>
      <c r="V259" s="138"/>
      <c r="W259" s="138"/>
      <c r="X259" s="138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</row>
    <row r="260" spans="1:60" outlineLevel="1" x14ac:dyDescent="0.2">
      <c r="A260" s="183"/>
      <c r="B260" s="165"/>
      <c r="C260" s="195"/>
      <c r="D260" s="196"/>
      <c r="E260" s="196"/>
      <c r="F260" s="196"/>
      <c r="G260" s="196"/>
      <c r="H260" s="138"/>
      <c r="I260" s="138"/>
      <c r="J260" s="138"/>
      <c r="K260" s="138"/>
      <c r="L260" s="138"/>
      <c r="M260" s="138"/>
      <c r="N260" s="138"/>
      <c r="O260" s="138"/>
      <c r="P260" s="138"/>
      <c r="Q260" s="138"/>
      <c r="R260" s="138"/>
      <c r="S260" s="138"/>
      <c r="T260" s="138"/>
      <c r="U260" s="138"/>
      <c r="V260" s="138"/>
      <c r="W260" s="138"/>
      <c r="X260" s="138"/>
      <c r="Y260" s="135"/>
      <c r="Z260" s="135"/>
      <c r="AA260" s="135"/>
      <c r="AB260" s="135"/>
      <c r="AC260" s="135"/>
      <c r="AD260" s="135"/>
      <c r="AE260" s="135"/>
      <c r="AF260" s="135"/>
      <c r="AG260" s="135"/>
      <c r="AH260" s="135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AZ260" s="135"/>
      <c r="BA260" s="135"/>
      <c r="BB260" s="135"/>
      <c r="BC260" s="135"/>
      <c r="BD260" s="135"/>
      <c r="BE260" s="135"/>
      <c r="BF260" s="135"/>
      <c r="BG260" s="135"/>
      <c r="BH260" s="135"/>
    </row>
    <row r="261" spans="1:60" outlineLevel="1" x14ac:dyDescent="0.2">
      <c r="A261" s="184">
        <f>A258+1</f>
        <v>85</v>
      </c>
      <c r="B261" s="185" t="s">
        <v>110</v>
      </c>
      <c r="C261" s="189" t="s">
        <v>335</v>
      </c>
      <c r="D261" s="186" t="s">
        <v>94</v>
      </c>
      <c r="E261" s="187">
        <v>1</v>
      </c>
      <c r="F261" s="188"/>
      <c r="G261" s="161">
        <f>ROUND(E261*F261,2)</f>
        <v>0</v>
      </c>
      <c r="H261" s="188">
        <v>0</v>
      </c>
      <c r="I261" s="161">
        <f>ROUND(E261*H261,2)</f>
        <v>0</v>
      </c>
      <c r="J261" s="188">
        <v>0</v>
      </c>
      <c r="K261" s="161">
        <f>ROUND(E261*J261,2)</f>
        <v>0</v>
      </c>
      <c r="L261" s="161">
        <v>21</v>
      </c>
      <c r="M261" s="161">
        <f>G261*(1+L261/100)</f>
        <v>0</v>
      </c>
      <c r="N261" s="161">
        <v>0</v>
      </c>
      <c r="O261" s="161">
        <f>ROUND(E261*N261,2)</f>
        <v>0</v>
      </c>
      <c r="P261" s="161">
        <v>0</v>
      </c>
      <c r="Q261" s="161">
        <f>ROUND(E261*P261,2)</f>
        <v>0</v>
      </c>
      <c r="R261" s="161"/>
      <c r="S261" s="161" t="s">
        <v>161</v>
      </c>
      <c r="T261" s="162" t="s">
        <v>95</v>
      </c>
      <c r="U261" s="138"/>
      <c r="V261" s="138"/>
      <c r="W261" s="138"/>
      <c r="X261" s="138"/>
      <c r="Y261" s="135"/>
      <c r="Z261" s="135"/>
      <c r="AA261" s="135"/>
      <c r="AB261" s="135"/>
      <c r="AC261" s="135"/>
      <c r="AD261" s="135"/>
      <c r="AE261" s="135"/>
      <c r="AF261" s="135"/>
      <c r="AG261" s="135"/>
      <c r="AH261" s="135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135"/>
      <c r="BA261" s="135"/>
      <c r="BB261" s="135"/>
      <c r="BC261" s="135"/>
      <c r="BD261" s="135"/>
      <c r="BE261" s="135"/>
      <c r="BF261" s="135"/>
      <c r="BG261" s="135"/>
      <c r="BH261" s="135"/>
    </row>
    <row r="262" spans="1:60" ht="12.75" customHeight="1" outlineLevel="1" x14ac:dyDescent="0.2">
      <c r="A262" s="183"/>
      <c r="B262" s="165"/>
      <c r="C262" s="327" t="s">
        <v>334</v>
      </c>
      <c r="D262" s="328"/>
      <c r="E262" s="328"/>
      <c r="F262" s="328"/>
      <c r="G262" s="328"/>
      <c r="H262" s="138"/>
      <c r="I262" s="138"/>
      <c r="J262" s="138"/>
      <c r="K262" s="138"/>
      <c r="L262" s="138"/>
      <c r="M262" s="138"/>
      <c r="N262" s="138"/>
      <c r="O262" s="138"/>
      <c r="P262" s="138"/>
      <c r="Q262" s="138"/>
      <c r="R262" s="138"/>
      <c r="S262" s="138"/>
      <c r="T262" s="138"/>
      <c r="U262" s="138"/>
      <c r="V262" s="138"/>
      <c r="W262" s="138"/>
      <c r="X262" s="138"/>
      <c r="Y262" s="135"/>
      <c r="Z262" s="135"/>
      <c r="AA262" s="135"/>
      <c r="AB262" s="135"/>
      <c r="AC262" s="135"/>
      <c r="AD262" s="135"/>
      <c r="AE262" s="135"/>
      <c r="AF262" s="135"/>
      <c r="AG262" s="135"/>
      <c r="AH262" s="135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135"/>
      <c r="BA262" s="135"/>
      <c r="BB262" s="135"/>
      <c r="BC262" s="135"/>
      <c r="BD262" s="135"/>
      <c r="BE262" s="135"/>
      <c r="BF262" s="135"/>
      <c r="BG262" s="135"/>
      <c r="BH262" s="135"/>
    </row>
    <row r="263" spans="1:60" outlineLevel="1" x14ac:dyDescent="0.2">
      <c r="A263" s="183"/>
      <c r="B263" s="165"/>
      <c r="C263" s="322"/>
      <c r="D263" s="323"/>
      <c r="E263" s="323"/>
      <c r="F263" s="323"/>
      <c r="G263" s="323"/>
      <c r="H263" s="138"/>
      <c r="I263" s="138"/>
      <c r="J263" s="138"/>
      <c r="K263" s="138"/>
      <c r="L263" s="138"/>
      <c r="M263" s="138"/>
      <c r="N263" s="138"/>
      <c r="O263" s="138"/>
      <c r="P263" s="138"/>
      <c r="Q263" s="138"/>
      <c r="R263" s="138"/>
      <c r="S263" s="138"/>
      <c r="T263" s="138"/>
      <c r="U263" s="138"/>
      <c r="V263" s="138"/>
      <c r="W263" s="138"/>
      <c r="X263" s="138"/>
      <c r="Y263" s="135"/>
      <c r="Z263" s="135"/>
      <c r="AA263" s="135"/>
      <c r="AB263" s="135"/>
      <c r="AC263" s="135"/>
      <c r="AD263" s="135"/>
      <c r="AE263" s="135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135"/>
      <c r="BA263" s="135"/>
      <c r="BB263" s="135"/>
      <c r="BC263" s="135"/>
      <c r="BD263" s="135"/>
      <c r="BE263" s="135"/>
      <c r="BF263" s="135"/>
      <c r="BG263" s="135"/>
      <c r="BH263" s="135"/>
    </row>
    <row r="264" spans="1:60" outlineLevel="1" x14ac:dyDescent="0.2">
      <c r="A264" s="184">
        <f>A261+1</f>
        <v>86</v>
      </c>
      <c r="B264" s="185" t="s">
        <v>111</v>
      </c>
      <c r="C264" s="189" t="s">
        <v>112</v>
      </c>
      <c r="D264" s="186" t="s">
        <v>94</v>
      </c>
      <c r="E264" s="187">
        <v>1</v>
      </c>
      <c r="F264" s="188"/>
      <c r="G264" s="161">
        <f>ROUND(E264*F264,2)</f>
        <v>0</v>
      </c>
      <c r="H264" s="188">
        <v>0</v>
      </c>
      <c r="I264" s="161">
        <f>ROUND(E264*H264,2)</f>
        <v>0</v>
      </c>
      <c r="J264" s="188">
        <v>0</v>
      </c>
      <c r="K264" s="161">
        <f>ROUND(E264*J264,2)</f>
        <v>0</v>
      </c>
      <c r="L264" s="161">
        <v>21</v>
      </c>
      <c r="M264" s="161">
        <f>G264*(1+L264/100)</f>
        <v>0</v>
      </c>
      <c r="N264" s="161">
        <v>0</v>
      </c>
      <c r="O264" s="161">
        <f>ROUND(E264*N264,2)</f>
        <v>0</v>
      </c>
      <c r="P264" s="161">
        <v>0</v>
      </c>
      <c r="Q264" s="161">
        <f>ROUND(E264*P264,2)</f>
        <v>0</v>
      </c>
      <c r="R264" s="161"/>
      <c r="S264" s="161" t="s">
        <v>161</v>
      </c>
      <c r="T264" s="162" t="s">
        <v>95</v>
      </c>
      <c r="U264" s="138"/>
      <c r="V264" s="138"/>
      <c r="W264" s="138"/>
      <c r="X264" s="138"/>
      <c r="Y264" s="135"/>
      <c r="Z264" s="135"/>
      <c r="AA264" s="135"/>
      <c r="AB264" s="135"/>
      <c r="AC264" s="135"/>
      <c r="AD264" s="135"/>
      <c r="AE264" s="135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</row>
    <row r="265" spans="1:60" ht="23.25" customHeight="1" outlineLevel="1" x14ac:dyDescent="0.2">
      <c r="A265" s="183"/>
      <c r="B265" s="165"/>
      <c r="C265" s="327" t="s">
        <v>157</v>
      </c>
      <c r="D265" s="328"/>
      <c r="E265" s="328"/>
      <c r="F265" s="328"/>
      <c r="G265" s="328"/>
      <c r="H265" s="138"/>
      <c r="I265" s="138"/>
      <c r="J265" s="138"/>
      <c r="K265" s="138"/>
      <c r="L265" s="138"/>
      <c r="M265" s="138"/>
      <c r="N265" s="138"/>
      <c r="O265" s="138"/>
      <c r="P265" s="138"/>
      <c r="Q265" s="138"/>
      <c r="R265" s="138"/>
      <c r="S265" s="138"/>
      <c r="T265" s="138"/>
      <c r="U265" s="138"/>
      <c r="V265" s="138"/>
      <c r="W265" s="138"/>
      <c r="X265" s="138"/>
      <c r="Y265" s="135"/>
      <c r="Z265" s="135"/>
      <c r="AA265" s="135"/>
      <c r="AB265" s="135"/>
      <c r="AC265" s="135"/>
      <c r="AD265" s="135"/>
      <c r="AE265" s="135"/>
      <c r="AF265" s="135"/>
      <c r="AG265" s="135"/>
      <c r="AH265" s="135"/>
      <c r="AI265" s="135"/>
      <c r="AJ265" s="135"/>
      <c r="AK265" s="135"/>
      <c r="AL265" s="135"/>
      <c r="AM265" s="135"/>
      <c r="AN265" s="135"/>
      <c r="AO265" s="135"/>
      <c r="AP265" s="135"/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</row>
    <row r="266" spans="1:60" outlineLevel="1" x14ac:dyDescent="0.2">
      <c r="A266" s="183"/>
      <c r="B266" s="165"/>
      <c r="C266" s="322"/>
      <c r="D266" s="323"/>
      <c r="E266" s="323"/>
      <c r="F266" s="323"/>
      <c r="G266" s="323"/>
      <c r="H266" s="138"/>
      <c r="I266" s="138"/>
      <c r="J266" s="138"/>
      <c r="K266" s="138"/>
      <c r="L266" s="138"/>
      <c r="M266" s="138"/>
      <c r="N266" s="138"/>
      <c r="O266" s="138"/>
      <c r="P266" s="138"/>
      <c r="Q266" s="138"/>
      <c r="R266" s="138"/>
      <c r="S266" s="138"/>
      <c r="T266" s="138"/>
      <c r="U266" s="138"/>
      <c r="V266" s="138"/>
      <c r="W266" s="138"/>
      <c r="X266" s="138"/>
      <c r="Y266" s="135"/>
      <c r="Z266" s="135"/>
      <c r="AA266" s="135"/>
      <c r="AB266" s="135"/>
      <c r="AC266" s="135"/>
      <c r="AD266" s="135"/>
      <c r="AE266" s="135"/>
      <c r="AF266" s="135"/>
      <c r="AG266" s="135"/>
      <c r="AH266" s="135"/>
      <c r="AI266" s="135"/>
      <c r="AJ266" s="135"/>
      <c r="AK266" s="135"/>
      <c r="AL266" s="135"/>
      <c r="AM266" s="135"/>
      <c r="AN266" s="135"/>
      <c r="AO266" s="135"/>
      <c r="AP266" s="135"/>
      <c r="AQ266" s="135"/>
      <c r="AR266" s="135"/>
      <c r="AS266" s="135"/>
      <c r="AT266" s="135"/>
      <c r="AU266" s="135"/>
      <c r="AV266" s="135"/>
      <c r="AW266" s="135"/>
      <c r="AX266" s="135"/>
      <c r="AY266" s="135"/>
      <c r="AZ266" s="135"/>
      <c r="BA266" s="135"/>
      <c r="BB266" s="135"/>
      <c r="BC266" s="135"/>
      <c r="BD266" s="135"/>
      <c r="BE266" s="135"/>
      <c r="BF266" s="135"/>
      <c r="BG266" s="135"/>
      <c r="BH266" s="135"/>
    </row>
    <row r="267" spans="1:60" outlineLevel="1" x14ac:dyDescent="0.2">
      <c r="A267" s="3"/>
      <c r="B267" s="4"/>
      <c r="C267" s="148"/>
      <c r="D267" s="6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138"/>
      <c r="V267" s="138"/>
      <c r="W267" s="138"/>
      <c r="X267" s="138"/>
      <c r="Y267" s="135"/>
      <c r="Z267" s="135"/>
      <c r="AA267" s="135"/>
      <c r="AB267" s="135"/>
      <c r="AC267" s="135"/>
      <c r="AD267" s="135"/>
      <c r="AE267" s="135"/>
      <c r="AF267" s="135"/>
      <c r="AG267" s="135"/>
      <c r="AH267" s="135"/>
      <c r="AI267" s="135"/>
      <c r="AJ267" s="135"/>
      <c r="AK267" s="135"/>
      <c r="AL267" s="135"/>
      <c r="AM267" s="135"/>
      <c r="AN267" s="135"/>
      <c r="AO267" s="135"/>
      <c r="AP267" s="135"/>
      <c r="AQ267" s="135"/>
      <c r="AR267" s="135"/>
      <c r="AS267" s="135"/>
      <c r="AT267" s="135"/>
      <c r="AU267" s="135"/>
      <c r="AV267" s="135"/>
      <c r="AW267" s="135"/>
      <c r="AX267" s="135"/>
      <c r="AY267" s="135"/>
      <c r="AZ267" s="135"/>
      <c r="BA267" s="135"/>
      <c r="BB267" s="135"/>
      <c r="BC267" s="135"/>
      <c r="BD267" s="135"/>
      <c r="BE267" s="135"/>
      <c r="BF267" s="135"/>
      <c r="BG267" s="135"/>
      <c r="BH267" s="135"/>
    </row>
    <row r="268" spans="1:60" outlineLevel="1" x14ac:dyDescent="0.2">
      <c r="A268" s="202"/>
      <c r="B268" s="203" t="s">
        <v>28</v>
      </c>
      <c r="C268" s="204"/>
      <c r="D268" s="205"/>
      <c r="E268" s="206"/>
      <c r="F268" s="206"/>
      <c r="G268" s="146">
        <f>G8+G75+G132+G200+G204+G212+G225+G241+G254</f>
        <v>0</v>
      </c>
      <c r="H268" s="3"/>
      <c r="I268" s="3"/>
      <c r="J268" s="3"/>
      <c r="K268" s="3"/>
      <c r="L268" s="137"/>
      <c r="M268" s="3"/>
      <c r="N268" s="3"/>
      <c r="O268" s="3"/>
      <c r="P268" s="3"/>
      <c r="Q268" s="3"/>
      <c r="R268" s="3"/>
      <c r="S268" s="3"/>
      <c r="T268" s="3"/>
      <c r="U268" s="138"/>
      <c r="V268" s="138"/>
      <c r="W268" s="138"/>
      <c r="X268" s="138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</row>
    <row r="269" spans="1:60" ht="13.15" customHeight="1" x14ac:dyDescent="0.2">
      <c r="C269" s="149"/>
      <c r="D269" s="10"/>
      <c r="AG269" t="s">
        <v>113</v>
      </c>
    </row>
    <row r="270" spans="1:60" x14ac:dyDescent="0.2">
      <c r="D270" s="10"/>
    </row>
    <row r="271" spans="1:60" x14ac:dyDescent="0.2">
      <c r="D271" s="10"/>
    </row>
    <row r="272" spans="1:60" ht="13.15" customHeight="1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ht="13.15" customHeight="1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ht="13.15" customHeight="1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ht="13.15" customHeight="1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ht="13.15" customHeight="1" x14ac:dyDescent="0.2">
      <c r="D305" s="10"/>
    </row>
    <row r="306" spans="4:4" x14ac:dyDescent="0.2">
      <c r="D306" s="10"/>
    </row>
    <row r="307" spans="4:4" x14ac:dyDescent="0.2">
      <c r="D307" s="10"/>
    </row>
    <row r="308" spans="4:4" ht="13.15" customHeight="1" x14ac:dyDescent="0.2">
      <c r="D308" s="10"/>
    </row>
    <row r="309" spans="4:4" x14ac:dyDescent="0.2">
      <c r="D309" s="10"/>
    </row>
    <row r="310" spans="4:4" x14ac:dyDescent="0.2">
      <c r="D310" s="10"/>
    </row>
    <row r="311" spans="4:4" ht="13.15" customHeight="1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  <row r="5011" spans="4:4" x14ac:dyDescent="0.2">
      <c r="D5011" s="10"/>
    </row>
    <row r="5012" spans="4:4" x14ac:dyDescent="0.2">
      <c r="D5012" s="10"/>
    </row>
    <row r="5013" spans="4:4" x14ac:dyDescent="0.2">
      <c r="D5013" s="10"/>
    </row>
    <row r="5014" spans="4:4" x14ac:dyDescent="0.2">
      <c r="D5014" s="10"/>
    </row>
    <row r="5015" spans="4:4" x14ac:dyDescent="0.2">
      <c r="D5015" s="10"/>
    </row>
    <row r="5016" spans="4:4" x14ac:dyDescent="0.2">
      <c r="D5016" s="10"/>
    </row>
    <row r="5017" spans="4:4" x14ac:dyDescent="0.2">
      <c r="D5017" s="10"/>
    </row>
    <row r="5018" spans="4:4" x14ac:dyDescent="0.2">
      <c r="D5018" s="10"/>
    </row>
    <row r="5019" spans="4:4" x14ac:dyDescent="0.2">
      <c r="D5019" s="10"/>
    </row>
    <row r="5020" spans="4:4" x14ac:dyDescent="0.2">
      <c r="D5020" s="10"/>
    </row>
    <row r="5021" spans="4:4" x14ac:dyDescent="0.2">
      <c r="D5021" s="10"/>
    </row>
    <row r="5022" spans="4:4" x14ac:dyDescent="0.2">
      <c r="D5022" s="10"/>
    </row>
    <row r="5023" spans="4:4" x14ac:dyDescent="0.2">
      <c r="D5023" s="10"/>
    </row>
    <row r="5024" spans="4:4" x14ac:dyDescent="0.2">
      <c r="D5024" s="10"/>
    </row>
    <row r="5025" spans="4:4" x14ac:dyDescent="0.2">
      <c r="D5025" s="10"/>
    </row>
    <row r="5026" spans="4:4" x14ac:dyDescent="0.2">
      <c r="D5026" s="10"/>
    </row>
    <row r="5027" spans="4:4" x14ac:dyDescent="0.2">
      <c r="D5027" s="10"/>
    </row>
    <row r="5028" spans="4:4" x14ac:dyDescent="0.2">
      <c r="D5028" s="10"/>
    </row>
    <row r="5029" spans="4:4" x14ac:dyDescent="0.2">
      <c r="D5029" s="10"/>
    </row>
    <row r="5030" spans="4:4" x14ac:dyDescent="0.2">
      <c r="D5030" s="10"/>
    </row>
    <row r="5031" spans="4:4" x14ac:dyDescent="0.2">
      <c r="D5031" s="10"/>
    </row>
    <row r="5032" spans="4:4" x14ac:dyDescent="0.2">
      <c r="D5032" s="10"/>
    </row>
    <row r="5033" spans="4:4" x14ac:dyDescent="0.2">
      <c r="D5033" s="10"/>
    </row>
    <row r="5034" spans="4:4" x14ac:dyDescent="0.2">
      <c r="D5034" s="10"/>
    </row>
    <row r="5035" spans="4:4" x14ac:dyDescent="0.2">
      <c r="D5035" s="10"/>
    </row>
    <row r="5036" spans="4:4" x14ac:dyDescent="0.2">
      <c r="D5036" s="10"/>
    </row>
    <row r="5037" spans="4:4" x14ac:dyDescent="0.2">
      <c r="D5037" s="10"/>
    </row>
    <row r="5038" spans="4:4" x14ac:dyDescent="0.2">
      <c r="D5038" s="10"/>
    </row>
    <row r="5039" spans="4:4" x14ac:dyDescent="0.2">
      <c r="D5039" s="10"/>
    </row>
    <row r="5040" spans="4:4" x14ac:dyDescent="0.2">
      <c r="D5040" s="10"/>
    </row>
    <row r="5041" spans="4:4" x14ac:dyDescent="0.2">
      <c r="D5041" s="10"/>
    </row>
    <row r="5042" spans="4:4" x14ac:dyDescent="0.2">
      <c r="D5042" s="10"/>
    </row>
    <row r="5043" spans="4:4" x14ac:dyDescent="0.2">
      <c r="D5043" s="10"/>
    </row>
    <row r="5044" spans="4:4" x14ac:dyDescent="0.2">
      <c r="D5044" s="10"/>
    </row>
    <row r="5045" spans="4:4" x14ac:dyDescent="0.2">
      <c r="D5045" s="10"/>
    </row>
    <row r="5046" spans="4:4" x14ac:dyDescent="0.2">
      <c r="D5046" s="10"/>
    </row>
    <row r="5047" spans="4:4" x14ac:dyDescent="0.2">
      <c r="D5047" s="10"/>
    </row>
    <row r="5048" spans="4:4" x14ac:dyDescent="0.2">
      <c r="D5048" s="10"/>
    </row>
    <row r="5049" spans="4:4" x14ac:dyDescent="0.2">
      <c r="D5049" s="10"/>
    </row>
    <row r="5050" spans="4:4" x14ac:dyDescent="0.2">
      <c r="D5050" s="10"/>
    </row>
    <row r="5051" spans="4:4" x14ac:dyDescent="0.2">
      <c r="D5051" s="10"/>
    </row>
    <row r="5052" spans="4:4" x14ac:dyDescent="0.2">
      <c r="D5052" s="10"/>
    </row>
    <row r="5053" spans="4:4" x14ac:dyDescent="0.2">
      <c r="D5053" s="10"/>
    </row>
    <row r="5054" spans="4:4" x14ac:dyDescent="0.2">
      <c r="D5054" s="10"/>
    </row>
    <row r="5055" spans="4:4" x14ac:dyDescent="0.2">
      <c r="D5055" s="10"/>
    </row>
    <row r="5056" spans="4:4" x14ac:dyDescent="0.2">
      <c r="D5056" s="10"/>
    </row>
    <row r="5057" spans="4:4" x14ac:dyDescent="0.2">
      <c r="D5057" s="10"/>
    </row>
    <row r="5058" spans="4:4" x14ac:dyDescent="0.2">
      <c r="D5058" s="10"/>
    </row>
    <row r="5059" spans="4:4" x14ac:dyDescent="0.2">
      <c r="D5059" s="10"/>
    </row>
    <row r="5060" spans="4:4" x14ac:dyDescent="0.2">
      <c r="D5060" s="10"/>
    </row>
    <row r="5061" spans="4:4" x14ac:dyDescent="0.2">
      <c r="D5061" s="10"/>
    </row>
    <row r="5062" spans="4:4" x14ac:dyDescent="0.2">
      <c r="D5062" s="10"/>
    </row>
    <row r="5063" spans="4:4" x14ac:dyDescent="0.2">
      <c r="D5063" s="10"/>
    </row>
    <row r="5064" spans="4:4" x14ac:dyDescent="0.2">
      <c r="D5064" s="10"/>
    </row>
    <row r="5065" spans="4:4" x14ac:dyDescent="0.2">
      <c r="D5065" s="10"/>
    </row>
    <row r="5066" spans="4:4" x14ac:dyDescent="0.2">
      <c r="D5066" s="10"/>
    </row>
    <row r="5067" spans="4:4" x14ac:dyDescent="0.2">
      <c r="D5067" s="10"/>
    </row>
    <row r="5068" spans="4:4" x14ac:dyDescent="0.2">
      <c r="D5068" s="10"/>
    </row>
    <row r="5069" spans="4:4" x14ac:dyDescent="0.2">
      <c r="D5069" s="10"/>
    </row>
    <row r="5070" spans="4:4" x14ac:dyDescent="0.2">
      <c r="D5070" s="10"/>
    </row>
    <row r="5071" spans="4:4" x14ac:dyDescent="0.2">
      <c r="D5071" s="10"/>
    </row>
    <row r="5072" spans="4:4" x14ac:dyDescent="0.2">
      <c r="D5072" s="10"/>
    </row>
    <row r="5073" spans="4:4" x14ac:dyDescent="0.2">
      <c r="D5073" s="10"/>
    </row>
    <row r="5074" spans="4:4" x14ac:dyDescent="0.2">
      <c r="D5074" s="10"/>
    </row>
    <row r="5075" spans="4:4" x14ac:dyDescent="0.2">
      <c r="D5075" s="10"/>
    </row>
    <row r="5076" spans="4:4" x14ac:dyDescent="0.2">
      <c r="D5076" s="10"/>
    </row>
    <row r="5077" spans="4:4" x14ac:dyDescent="0.2">
      <c r="D5077" s="10"/>
    </row>
    <row r="5078" spans="4:4" x14ac:dyDescent="0.2">
      <c r="D5078" s="10"/>
    </row>
    <row r="5079" spans="4:4" x14ac:dyDescent="0.2">
      <c r="D5079" s="10"/>
    </row>
    <row r="5080" spans="4:4" x14ac:dyDescent="0.2">
      <c r="D5080" s="10"/>
    </row>
    <row r="5081" spans="4:4" x14ac:dyDescent="0.2">
      <c r="D5081" s="10"/>
    </row>
    <row r="5082" spans="4:4" x14ac:dyDescent="0.2">
      <c r="D5082" s="10"/>
    </row>
    <row r="5083" spans="4:4" x14ac:dyDescent="0.2">
      <c r="D5083" s="10"/>
    </row>
    <row r="5084" spans="4:4" x14ac:dyDescent="0.2">
      <c r="D5084" s="10"/>
    </row>
    <row r="5085" spans="4:4" x14ac:dyDescent="0.2">
      <c r="D5085" s="10"/>
    </row>
    <row r="5086" spans="4:4" x14ac:dyDescent="0.2">
      <c r="D5086" s="10"/>
    </row>
    <row r="5087" spans="4:4" x14ac:dyDescent="0.2">
      <c r="D5087" s="10"/>
    </row>
    <row r="5088" spans="4:4" x14ac:dyDescent="0.2">
      <c r="D5088" s="10"/>
    </row>
  </sheetData>
  <sheetProtection algorithmName="SHA-512" hashValue="ZT0DU4ja+7uC+0eYqoCWD+I0jxbYMpMAx3QrBSw3IZKY1uqnDEhwGgYixAgNWfxM5J2peKrg8JeZBEl7bUfoqw==" saltValue="BXs/HVlQLfhCHn1IBo6zzA==" spinCount="100000" sheet="1" objects="1" scenarios="1"/>
  <mergeCells count="58">
    <mergeCell ref="C206:G206"/>
    <mergeCell ref="C266:G266"/>
    <mergeCell ref="C256:G256"/>
    <mergeCell ref="C257:G257"/>
    <mergeCell ref="C259:G259"/>
    <mergeCell ref="C262:G262"/>
    <mergeCell ref="C263:G263"/>
    <mergeCell ref="C265:G265"/>
    <mergeCell ref="C252:G252"/>
    <mergeCell ref="C207:G207"/>
    <mergeCell ref="C216:G216"/>
    <mergeCell ref="C224:G224"/>
    <mergeCell ref="C228:G228"/>
    <mergeCell ref="C237:G237"/>
    <mergeCell ref="C243:G243"/>
    <mergeCell ref="C244:G244"/>
    <mergeCell ref="C246:G246"/>
    <mergeCell ref="C247:G247"/>
    <mergeCell ref="C249:G249"/>
    <mergeCell ref="C250:G250"/>
    <mergeCell ref="C209:G209"/>
    <mergeCell ref="C202:G202"/>
    <mergeCell ref="C67:D67"/>
    <mergeCell ref="C74:G74"/>
    <mergeCell ref="C101:G101"/>
    <mergeCell ref="C109:G109"/>
    <mergeCell ref="C134:G134"/>
    <mergeCell ref="C171:G171"/>
    <mergeCell ref="C173:G173"/>
    <mergeCell ref="C185:G185"/>
    <mergeCell ref="C186:G186"/>
    <mergeCell ref="C198:G198"/>
    <mergeCell ref="C199:G199"/>
    <mergeCell ref="C117:G117"/>
    <mergeCell ref="C63:G63"/>
    <mergeCell ref="C34:G34"/>
    <mergeCell ref="C39:G39"/>
    <mergeCell ref="C40:D40"/>
    <mergeCell ref="C43:G43"/>
    <mergeCell ref="C46:D46"/>
    <mergeCell ref="C49:D49"/>
    <mergeCell ref="C52:G52"/>
    <mergeCell ref="C53:D53"/>
    <mergeCell ref="C56:D56"/>
    <mergeCell ref="C59:D59"/>
    <mergeCell ref="C62:G62"/>
    <mergeCell ref="C30:G30"/>
    <mergeCell ref="A1:G1"/>
    <mergeCell ref="C2:H2"/>
    <mergeCell ref="C3:G3"/>
    <mergeCell ref="C4:H4"/>
    <mergeCell ref="C10:G10"/>
    <mergeCell ref="C12:G12"/>
    <mergeCell ref="C14:G14"/>
    <mergeCell ref="C16:G16"/>
    <mergeCell ref="C18:G18"/>
    <mergeCell ref="C22:G22"/>
    <mergeCell ref="C26:G26"/>
  </mergeCells>
  <pageMargins left="0.59055118110236204" right="0.196850393700787" top="0.78740157499999996" bottom="0.78740157499999996" header="0.3" footer="0.3"/>
  <pageSetup paperSize="9" scale="88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  <outlinePr summaryBelow="0"/>
    <pageSetUpPr fitToPage="1"/>
  </sheetPr>
  <dimension ref="A1:BH5079"/>
  <sheetViews>
    <sheetView workbookViewId="0">
      <pane ySplit="7" topLeftCell="A239" activePane="bottomLeft" state="frozen"/>
      <selection pane="bottomLeft" activeCell="L260" sqref="L260"/>
    </sheetView>
  </sheetViews>
  <sheetFormatPr defaultRowHeight="12.75" outlineLevelRow="1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2" max="12" width="11.7109375" bestFit="1" customWidth="1"/>
    <col min="13" max="13" width="11.7109375" customWidth="1"/>
    <col min="14" max="17" width="0" hidden="1" customWidth="1"/>
    <col min="18" max="18" width="6.85546875" customWidth="1"/>
    <col min="20" max="20" width="8.42578125" customWidth="1"/>
    <col min="21" max="24" width="0" hidden="1" customWidth="1"/>
    <col min="25" max="26" width="11.7109375" bestFit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311" t="s">
        <v>62</v>
      </c>
      <c r="B1" s="312"/>
      <c r="C1" s="312"/>
      <c r="D1" s="312"/>
      <c r="E1" s="312"/>
      <c r="F1" s="312"/>
      <c r="G1" s="312"/>
      <c r="H1" s="154"/>
      <c r="L1" s="158"/>
      <c r="AG1" t="s">
        <v>63</v>
      </c>
    </row>
    <row r="2" spans="1:60" ht="24" customHeight="1" x14ac:dyDescent="0.2">
      <c r="A2" s="155" t="s">
        <v>7</v>
      </c>
      <c r="B2" s="163" t="s">
        <v>338</v>
      </c>
      <c r="C2" s="313" t="s">
        <v>340</v>
      </c>
      <c r="D2" s="314"/>
      <c r="E2" s="314"/>
      <c r="F2" s="314"/>
      <c r="G2" s="314"/>
      <c r="H2" s="315"/>
      <c r="L2" s="158"/>
      <c r="AG2" t="s">
        <v>64</v>
      </c>
    </row>
    <row r="3" spans="1:60" ht="24" customHeight="1" x14ac:dyDescent="0.2">
      <c r="A3" s="155" t="s">
        <v>8</v>
      </c>
      <c r="B3" s="163" t="s">
        <v>339</v>
      </c>
      <c r="C3" s="316" t="s">
        <v>342</v>
      </c>
      <c r="D3" s="317"/>
      <c r="E3" s="317"/>
      <c r="F3" s="317"/>
      <c r="G3" s="318"/>
      <c r="H3" s="156"/>
      <c r="L3" s="158"/>
      <c r="AC3" s="120" t="s">
        <v>64</v>
      </c>
      <c r="AG3" t="s">
        <v>65</v>
      </c>
    </row>
    <row r="4" spans="1:60" ht="24" customHeight="1" x14ac:dyDescent="0.2">
      <c r="A4" s="157" t="s">
        <v>9</v>
      </c>
      <c r="B4" s="164" t="s">
        <v>338</v>
      </c>
      <c r="C4" s="319" t="s">
        <v>341</v>
      </c>
      <c r="D4" s="320"/>
      <c r="E4" s="320"/>
      <c r="F4" s="320"/>
      <c r="G4" s="320"/>
      <c r="H4" s="321"/>
      <c r="L4" s="158"/>
      <c r="AG4" t="s">
        <v>66</v>
      </c>
    </row>
    <row r="5" spans="1:60" x14ac:dyDescent="0.2">
      <c r="D5" s="10"/>
    </row>
    <row r="6" spans="1:60" ht="38.25" x14ac:dyDescent="0.2">
      <c r="A6" s="131" t="s">
        <v>67</v>
      </c>
      <c r="B6" s="133" t="s">
        <v>68</v>
      </c>
      <c r="C6" s="133" t="s">
        <v>69</v>
      </c>
      <c r="D6" s="132" t="s">
        <v>70</v>
      </c>
      <c r="E6" s="131" t="s">
        <v>71</v>
      </c>
      <c r="F6" s="130" t="s">
        <v>72</v>
      </c>
      <c r="G6" s="131" t="s">
        <v>28</v>
      </c>
      <c r="H6" s="134" t="s">
        <v>29</v>
      </c>
      <c r="I6" s="134" t="s">
        <v>73</v>
      </c>
      <c r="J6" s="134" t="s">
        <v>30</v>
      </c>
      <c r="K6" s="134" t="s">
        <v>74</v>
      </c>
      <c r="L6" s="134" t="s">
        <v>75</v>
      </c>
      <c r="M6" s="134" t="s">
        <v>76</v>
      </c>
      <c r="N6" s="134" t="s">
        <v>77</v>
      </c>
      <c r="O6" s="134" t="s">
        <v>78</v>
      </c>
      <c r="P6" s="134" t="s">
        <v>79</v>
      </c>
      <c r="Q6" s="134" t="s">
        <v>80</v>
      </c>
      <c r="R6" s="134" t="s">
        <v>81</v>
      </c>
      <c r="S6" s="134" t="s">
        <v>82</v>
      </c>
      <c r="T6" s="134" t="s">
        <v>83</v>
      </c>
      <c r="U6" s="134" t="s">
        <v>84</v>
      </c>
      <c r="V6" s="134" t="s">
        <v>85</v>
      </c>
      <c r="W6" s="134" t="s">
        <v>86</v>
      </c>
      <c r="X6" s="134" t="s">
        <v>87</v>
      </c>
    </row>
    <row r="7" spans="1:60" hidden="1" x14ac:dyDescent="0.2">
      <c r="A7" s="3"/>
      <c r="B7" s="4"/>
      <c r="C7" s="4"/>
      <c r="D7" s="6"/>
      <c r="E7" s="136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</row>
    <row r="8" spans="1:60" x14ac:dyDescent="0.2">
      <c r="A8" s="140" t="s">
        <v>88</v>
      </c>
      <c r="B8" s="141" t="s">
        <v>51</v>
      </c>
      <c r="C8" s="147" t="s">
        <v>52</v>
      </c>
      <c r="D8" s="142"/>
      <c r="E8" s="143"/>
      <c r="F8" s="144"/>
      <c r="G8" s="144">
        <f>SUMIF(AG9:AG72,"&lt;&gt;NOR",G9:G72)</f>
        <v>0</v>
      </c>
      <c r="H8" s="144"/>
      <c r="I8" s="144">
        <f>SUM(I9:I72)</f>
        <v>50.4</v>
      </c>
      <c r="J8" s="144"/>
      <c r="K8" s="144">
        <f>SUM(K9:K72)</f>
        <v>1043442.86</v>
      </c>
      <c r="L8" s="144"/>
      <c r="M8" s="144">
        <f>SUM(M9:M72)</f>
        <v>0</v>
      </c>
      <c r="N8" s="144"/>
      <c r="O8" s="144">
        <f>SUM(O9:O72)</f>
        <v>0</v>
      </c>
      <c r="P8" s="144"/>
      <c r="Q8" s="144">
        <f>SUM(Q9:Q72)</f>
        <v>572.86</v>
      </c>
      <c r="R8" s="144"/>
      <c r="S8" s="144"/>
      <c r="T8" s="145"/>
      <c r="U8" s="139"/>
      <c r="V8" s="139">
        <f>SUM(V9:V28)</f>
        <v>0</v>
      </c>
      <c r="W8" s="139"/>
      <c r="X8" s="139"/>
      <c r="Z8" s="81"/>
      <c r="AG8" t="s">
        <v>89</v>
      </c>
    </row>
    <row r="9" spans="1:60" outlineLevel="1" x14ac:dyDescent="0.2">
      <c r="A9" s="184">
        <v>1</v>
      </c>
      <c r="B9" s="185" t="s">
        <v>174</v>
      </c>
      <c r="C9" s="189" t="s">
        <v>173</v>
      </c>
      <c r="D9" s="186" t="s">
        <v>92</v>
      </c>
      <c r="E9" s="187">
        <f>E11</f>
        <v>100.45</v>
      </c>
      <c r="F9" s="188"/>
      <c r="G9" s="161">
        <f>ROUND(E9*F9,2)</f>
        <v>0</v>
      </c>
      <c r="H9" s="188">
        <v>0</v>
      </c>
      <c r="I9" s="161">
        <f>ROUND(E9*H9,2)</f>
        <v>0</v>
      </c>
      <c r="J9" s="188">
        <v>351</v>
      </c>
      <c r="K9" s="161">
        <f>ROUND(E9*J9,2)</f>
        <v>35257.949999999997</v>
      </c>
      <c r="L9" s="161">
        <v>21</v>
      </c>
      <c r="M9" s="161">
        <f>G9*(1+L9/100)</f>
        <v>0</v>
      </c>
      <c r="N9" s="161">
        <v>0</v>
      </c>
      <c r="O9" s="161">
        <f>ROUND(E9*N9,2)</f>
        <v>0</v>
      </c>
      <c r="P9" s="161">
        <v>0.44</v>
      </c>
      <c r="Q9" s="161">
        <f>ROUND(E9*P9,2)</f>
        <v>44.2</v>
      </c>
      <c r="R9" s="161" t="s">
        <v>98</v>
      </c>
      <c r="S9" s="161" t="s">
        <v>161</v>
      </c>
      <c r="T9" s="161" t="s">
        <v>161</v>
      </c>
      <c r="U9" s="138"/>
      <c r="V9" s="138"/>
      <c r="W9" s="138"/>
      <c r="X9" s="138"/>
      <c r="Y9" s="135"/>
      <c r="Z9" s="135"/>
      <c r="AA9" s="135"/>
      <c r="AB9" s="135"/>
      <c r="AC9" s="135"/>
      <c r="AD9" s="135"/>
      <c r="AE9" s="135"/>
      <c r="AF9" s="135"/>
      <c r="AG9" s="135" t="s">
        <v>90</v>
      </c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</row>
    <row r="10" spans="1:60" outlineLevel="1" x14ac:dyDescent="0.2">
      <c r="A10" s="183"/>
      <c r="B10" s="165"/>
      <c r="C10" s="309" t="s">
        <v>169</v>
      </c>
      <c r="D10" s="310"/>
      <c r="E10" s="310"/>
      <c r="F10" s="310"/>
      <c r="G10" s="310"/>
      <c r="H10" s="190"/>
      <c r="I10" s="138"/>
      <c r="J10" s="190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</row>
    <row r="11" spans="1:60" ht="12.75" customHeight="1" outlineLevel="1" x14ac:dyDescent="0.2">
      <c r="A11" s="183"/>
      <c r="B11" s="165"/>
      <c r="C11" s="211" t="s">
        <v>170</v>
      </c>
      <c r="D11" s="212"/>
      <c r="E11" s="213">
        <f>25+40+25.2+8+2.25</f>
        <v>100.45</v>
      </c>
      <c r="F11" s="210"/>
      <c r="G11" s="210"/>
      <c r="H11" s="190"/>
      <c r="I11" s="138"/>
      <c r="J11" s="190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</row>
    <row r="12" spans="1:60" outlineLevel="1" x14ac:dyDescent="0.2">
      <c r="A12" s="183"/>
      <c r="B12" s="165"/>
      <c r="C12" s="322"/>
      <c r="D12" s="323"/>
      <c r="E12" s="323"/>
      <c r="F12" s="323"/>
      <c r="G12" s="323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</row>
    <row r="13" spans="1:60" ht="22.5" outlineLevel="1" x14ac:dyDescent="0.2">
      <c r="A13" s="184">
        <f>A9+1</f>
        <v>2</v>
      </c>
      <c r="B13" s="185" t="s">
        <v>163</v>
      </c>
      <c r="C13" s="189" t="s">
        <v>164</v>
      </c>
      <c r="D13" s="186" t="s">
        <v>92</v>
      </c>
      <c r="E13" s="187">
        <f>E15</f>
        <v>973</v>
      </c>
      <c r="F13" s="188"/>
      <c r="G13" s="161">
        <f>ROUND(E13*F13,2)</f>
        <v>0</v>
      </c>
      <c r="H13" s="188">
        <v>0</v>
      </c>
      <c r="I13" s="161">
        <f>ROUND(E13*H13,2)</f>
        <v>0</v>
      </c>
      <c r="J13" s="188">
        <v>351</v>
      </c>
      <c r="K13" s="161">
        <f>ROUND(E13*J13,2)</f>
        <v>341523</v>
      </c>
      <c r="L13" s="161">
        <v>21</v>
      </c>
      <c r="M13" s="161">
        <f>G13*(1+L13/100)</f>
        <v>0</v>
      </c>
      <c r="N13" s="161">
        <v>0</v>
      </c>
      <c r="O13" s="161">
        <f>ROUND(E13*N13,2)</f>
        <v>0</v>
      </c>
      <c r="P13" s="161">
        <v>0.44</v>
      </c>
      <c r="Q13" s="161">
        <f>ROUND(E13*P13,2)</f>
        <v>428.12</v>
      </c>
      <c r="R13" s="161" t="s">
        <v>98</v>
      </c>
      <c r="S13" s="161" t="s">
        <v>161</v>
      </c>
      <c r="T13" s="161" t="s">
        <v>161</v>
      </c>
      <c r="U13" s="138"/>
      <c r="V13" s="138"/>
      <c r="W13" s="138"/>
      <c r="X13" s="138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</row>
    <row r="14" spans="1:60" outlineLevel="1" x14ac:dyDescent="0.2">
      <c r="A14" s="183"/>
      <c r="B14" s="165"/>
      <c r="C14" s="309" t="s">
        <v>125</v>
      </c>
      <c r="D14" s="310"/>
      <c r="E14" s="310"/>
      <c r="F14" s="310"/>
      <c r="G14" s="310"/>
      <c r="H14" s="190"/>
      <c r="I14" s="138"/>
      <c r="J14" s="190"/>
      <c r="K14" s="138"/>
      <c r="L14" s="138"/>
      <c r="M14" s="138"/>
      <c r="N14" s="138"/>
      <c r="O14" s="138"/>
      <c r="P14" s="138"/>
      <c r="Q14" s="138"/>
      <c r="R14" s="138"/>
      <c r="S14" s="138"/>
      <c r="T14" s="138"/>
      <c r="U14" s="138"/>
      <c r="V14" s="138"/>
      <c r="W14" s="138"/>
      <c r="X14" s="138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</row>
    <row r="15" spans="1:60" outlineLevel="1" x14ac:dyDescent="0.2">
      <c r="A15" s="183"/>
      <c r="B15" s="165"/>
      <c r="C15" s="211" t="s">
        <v>172</v>
      </c>
      <c r="D15" s="212"/>
      <c r="E15" s="213">
        <f>600+110+8+190+65</f>
        <v>973</v>
      </c>
      <c r="F15" s="210"/>
      <c r="G15" s="210"/>
      <c r="H15" s="190"/>
      <c r="I15" s="138"/>
      <c r="J15" s="190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</row>
    <row r="16" spans="1:60" outlineLevel="1" x14ac:dyDescent="0.2">
      <c r="A16" s="183"/>
      <c r="B16" s="165"/>
      <c r="C16" s="322"/>
      <c r="D16" s="323"/>
      <c r="E16" s="323"/>
      <c r="F16" s="323"/>
      <c r="G16" s="323"/>
      <c r="H16" s="138"/>
      <c r="I16" s="138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</row>
    <row r="17" spans="1:60" ht="22.5" outlineLevel="1" x14ac:dyDescent="0.2">
      <c r="A17" s="184">
        <f>A13+1</f>
        <v>3</v>
      </c>
      <c r="B17" s="185" t="s">
        <v>166</v>
      </c>
      <c r="C17" s="189" t="s">
        <v>165</v>
      </c>
      <c r="D17" s="186" t="s">
        <v>92</v>
      </c>
      <c r="E17" s="187">
        <f>E19</f>
        <v>18</v>
      </c>
      <c r="F17" s="188"/>
      <c r="G17" s="161">
        <f>ROUND(E17*F17,2)</f>
        <v>0</v>
      </c>
      <c r="H17" s="188">
        <v>0</v>
      </c>
      <c r="I17" s="161">
        <f>ROUND(E17*H17,2)</f>
        <v>0</v>
      </c>
      <c r="J17" s="188">
        <v>351</v>
      </c>
      <c r="K17" s="161">
        <f>ROUND(E17*J17,2)</f>
        <v>6318</v>
      </c>
      <c r="L17" s="161">
        <v>21</v>
      </c>
      <c r="M17" s="161">
        <f>G17*(1+L17/100)</f>
        <v>0</v>
      </c>
      <c r="N17" s="161">
        <v>0</v>
      </c>
      <c r="O17" s="161">
        <f>ROUND(E17*N17,2)</f>
        <v>0</v>
      </c>
      <c r="P17" s="161">
        <v>0.44</v>
      </c>
      <c r="Q17" s="161">
        <f>ROUND(E17*P17,2)</f>
        <v>7.92</v>
      </c>
      <c r="R17" s="161" t="s">
        <v>98</v>
      </c>
      <c r="S17" s="161" t="s">
        <v>161</v>
      </c>
      <c r="T17" s="161" t="s">
        <v>161</v>
      </c>
      <c r="U17" s="138"/>
      <c r="V17" s="138"/>
      <c r="W17" s="138"/>
      <c r="X17" s="138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</row>
    <row r="18" spans="1:60" outlineLevel="1" x14ac:dyDescent="0.2">
      <c r="A18" s="183"/>
      <c r="B18" s="165"/>
      <c r="C18" s="309" t="s">
        <v>125</v>
      </c>
      <c r="D18" s="310"/>
      <c r="E18" s="310"/>
      <c r="F18" s="310"/>
      <c r="G18" s="310"/>
      <c r="H18" s="190"/>
      <c r="I18" s="138"/>
      <c r="J18" s="190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</row>
    <row r="19" spans="1:60" outlineLevel="1" x14ac:dyDescent="0.2">
      <c r="A19" s="183"/>
      <c r="B19" s="165"/>
      <c r="C19" s="211" t="s">
        <v>171</v>
      </c>
      <c r="D19" s="212"/>
      <c r="E19" s="213">
        <f>15*1.2</f>
        <v>18</v>
      </c>
      <c r="F19" s="210"/>
      <c r="G19" s="210"/>
      <c r="H19" s="190"/>
      <c r="I19" s="138"/>
      <c r="J19" s="190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</row>
    <row r="20" spans="1:60" outlineLevel="1" x14ac:dyDescent="0.2">
      <c r="A20" s="183"/>
      <c r="B20" s="165"/>
      <c r="C20" s="195"/>
      <c r="D20" s="196"/>
      <c r="E20" s="196"/>
      <c r="F20" s="196"/>
      <c r="G20" s="196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</row>
    <row r="21" spans="1:60" ht="22.5" outlineLevel="1" x14ac:dyDescent="0.2">
      <c r="A21" s="184">
        <f>A17+1</f>
        <v>4</v>
      </c>
      <c r="B21" s="185" t="s">
        <v>168</v>
      </c>
      <c r="C21" s="189" t="s">
        <v>167</v>
      </c>
      <c r="D21" s="186" t="s">
        <v>92</v>
      </c>
      <c r="E21" s="187">
        <f>E23</f>
        <v>600</v>
      </c>
      <c r="F21" s="188"/>
      <c r="G21" s="161">
        <f>ROUND(E21*F21,2)</f>
        <v>0</v>
      </c>
      <c r="H21" s="188">
        <v>0</v>
      </c>
      <c r="I21" s="161">
        <f>ROUND(E21*H21,2)</f>
        <v>0</v>
      </c>
      <c r="J21" s="188">
        <v>111</v>
      </c>
      <c r="K21" s="161">
        <f>ROUND(E21*J21,2)</f>
        <v>66600</v>
      </c>
      <c r="L21" s="161">
        <v>21</v>
      </c>
      <c r="M21" s="161">
        <f>G21*(1+L21/100)</f>
        <v>0</v>
      </c>
      <c r="N21" s="161">
        <v>0</v>
      </c>
      <c r="O21" s="161">
        <f>ROUND(E21*N21,2)</f>
        <v>0</v>
      </c>
      <c r="P21" s="161">
        <v>0.11</v>
      </c>
      <c r="Q21" s="161">
        <f>ROUND(E21*P21,2)</f>
        <v>66</v>
      </c>
      <c r="R21" s="161" t="s">
        <v>98</v>
      </c>
      <c r="S21" s="161" t="s">
        <v>161</v>
      </c>
      <c r="T21" s="161" t="s">
        <v>161</v>
      </c>
      <c r="U21" s="138"/>
      <c r="V21" s="138"/>
      <c r="W21" s="138"/>
      <c r="X21" s="138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</row>
    <row r="22" spans="1:60" outlineLevel="1" x14ac:dyDescent="0.2">
      <c r="A22" s="183"/>
      <c r="B22" s="165"/>
      <c r="C22" s="309" t="s">
        <v>125</v>
      </c>
      <c r="D22" s="310"/>
      <c r="E22" s="310"/>
      <c r="F22" s="310"/>
      <c r="G22" s="310"/>
      <c r="H22" s="190"/>
      <c r="I22" s="138"/>
      <c r="J22" s="190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</row>
    <row r="23" spans="1:60" outlineLevel="1" x14ac:dyDescent="0.2">
      <c r="A23" s="183"/>
      <c r="B23" s="165"/>
      <c r="C23" s="211">
        <v>600</v>
      </c>
      <c r="D23" s="212"/>
      <c r="E23" s="213">
        <v>600</v>
      </c>
      <c r="F23" s="191"/>
      <c r="G23" s="138"/>
      <c r="H23" s="190"/>
      <c r="I23" s="138"/>
      <c r="J23" s="190"/>
      <c r="K23" s="138"/>
      <c r="L23" s="138"/>
      <c r="M23" s="138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</row>
    <row r="24" spans="1:60" outlineLevel="1" x14ac:dyDescent="0.2">
      <c r="A24" s="183"/>
      <c r="B24" s="165"/>
      <c r="C24" s="195"/>
      <c r="D24" s="196"/>
      <c r="E24" s="196"/>
      <c r="F24" s="196"/>
      <c r="G24" s="196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</row>
    <row r="25" spans="1:60" outlineLevel="1" x14ac:dyDescent="0.2">
      <c r="A25" s="184">
        <f>A21+1</f>
        <v>5</v>
      </c>
      <c r="B25" s="185" t="s">
        <v>176</v>
      </c>
      <c r="C25" s="189" t="s">
        <v>175</v>
      </c>
      <c r="D25" s="186" t="s">
        <v>102</v>
      </c>
      <c r="E25" s="187">
        <f>E27</f>
        <v>121</v>
      </c>
      <c r="F25" s="188"/>
      <c r="G25" s="161">
        <f>ROUND(E25*F25,2)</f>
        <v>0</v>
      </c>
      <c r="H25" s="188">
        <v>0</v>
      </c>
      <c r="I25" s="161">
        <f>ROUND(E25*H25,2)</f>
        <v>0</v>
      </c>
      <c r="J25" s="188">
        <v>115</v>
      </c>
      <c r="K25" s="161">
        <f>ROUND(E25*J25,2)</f>
        <v>13915</v>
      </c>
      <c r="L25" s="161">
        <v>21</v>
      </c>
      <c r="M25" s="161">
        <f>G25*(1+L25/100)</f>
        <v>0</v>
      </c>
      <c r="N25" s="161">
        <v>0</v>
      </c>
      <c r="O25" s="161">
        <f>ROUND(E25*N25,2)</f>
        <v>0</v>
      </c>
      <c r="P25" s="161">
        <v>0.22</v>
      </c>
      <c r="Q25" s="161">
        <f>ROUND(E25*P25,2)</f>
        <v>26.62</v>
      </c>
      <c r="R25" s="161" t="s">
        <v>98</v>
      </c>
      <c r="S25" s="161" t="s">
        <v>161</v>
      </c>
      <c r="T25" s="161" t="s">
        <v>161</v>
      </c>
      <c r="U25" s="138"/>
      <c r="V25" s="138"/>
      <c r="W25" s="138"/>
      <c r="X25" s="138"/>
      <c r="Y25" s="135"/>
      <c r="Z25" s="135"/>
      <c r="AA25" s="135"/>
      <c r="AB25" s="135"/>
      <c r="AC25" s="135"/>
      <c r="AD25" s="135"/>
      <c r="AE25" s="135"/>
      <c r="AF25" s="135"/>
      <c r="AG25" s="135" t="s">
        <v>101</v>
      </c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</row>
    <row r="26" spans="1:60" ht="13.5" customHeight="1" outlineLevel="1" x14ac:dyDescent="0.2">
      <c r="A26" s="183"/>
      <c r="B26" s="165"/>
      <c r="C26" s="309" t="s">
        <v>126</v>
      </c>
      <c r="D26" s="310"/>
      <c r="E26" s="310"/>
      <c r="F26" s="310"/>
      <c r="G26" s="310"/>
      <c r="H26" s="138"/>
      <c r="I26" s="138"/>
      <c r="J26" s="138"/>
      <c r="K26" s="138"/>
      <c r="L26" s="138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  <c r="X26" s="138"/>
      <c r="Y26" s="135"/>
      <c r="Z26" s="135"/>
      <c r="AA26" s="135"/>
      <c r="AB26" s="135"/>
      <c r="AC26" s="135"/>
      <c r="AD26" s="135"/>
      <c r="AE26" s="135"/>
      <c r="AF26" s="135"/>
      <c r="AG26" s="135" t="s">
        <v>90</v>
      </c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</row>
    <row r="27" spans="1:60" ht="13.5" customHeight="1" outlineLevel="1" x14ac:dyDescent="0.2">
      <c r="A27" s="183"/>
      <c r="B27" s="165"/>
      <c r="C27" s="211" t="s">
        <v>177</v>
      </c>
      <c r="D27" s="212"/>
      <c r="E27" s="213">
        <f>21+22+8+11+39+6+7+7</f>
        <v>121</v>
      </c>
      <c r="F27" s="210"/>
      <c r="G27" s="210"/>
      <c r="H27" s="138"/>
      <c r="I27" s="138"/>
      <c r="J27" s="138"/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  <c r="X27" s="138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</row>
    <row r="28" spans="1:60" outlineLevel="1" x14ac:dyDescent="0.2">
      <c r="A28" s="183"/>
      <c r="B28" s="165"/>
      <c r="C28" s="195"/>
      <c r="D28" s="196"/>
      <c r="E28" s="196"/>
      <c r="F28" s="196"/>
      <c r="G28" s="196"/>
      <c r="H28" s="138"/>
      <c r="I28" s="138"/>
      <c r="J28" s="138"/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>
        <v>0.06</v>
      </c>
      <c r="V28" s="138">
        <f>ROUND(E28*U28,2)</f>
        <v>0</v>
      </c>
      <c r="W28" s="138"/>
      <c r="X28" s="138" t="s">
        <v>99</v>
      </c>
      <c r="Y28" s="135"/>
      <c r="Z28" s="135"/>
      <c r="AA28" s="135"/>
      <c r="AB28" s="135"/>
      <c r="AC28" s="135"/>
      <c r="AD28" s="135"/>
      <c r="AE28" s="135"/>
      <c r="AF28" s="135"/>
      <c r="AG28" s="135" t="s">
        <v>100</v>
      </c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</row>
    <row r="29" spans="1:60" ht="12.75" customHeight="1" outlineLevel="1" x14ac:dyDescent="0.2">
      <c r="A29" s="184">
        <f>A25+1</f>
        <v>6</v>
      </c>
      <c r="B29" s="185" t="s">
        <v>183</v>
      </c>
      <c r="C29" s="189" t="s">
        <v>182</v>
      </c>
      <c r="D29" s="186" t="s">
        <v>104</v>
      </c>
      <c r="E29" s="187">
        <f>E31</f>
        <v>3.2000000000000006</v>
      </c>
      <c r="F29" s="188"/>
      <c r="G29" s="161">
        <f>ROUND(E29*F29,2)</f>
        <v>0</v>
      </c>
      <c r="H29" s="188">
        <v>0</v>
      </c>
      <c r="I29" s="161">
        <f>ROUND(E29*H29,2)</f>
        <v>0</v>
      </c>
      <c r="J29" s="188">
        <v>695</v>
      </c>
      <c r="K29" s="161">
        <f>ROUND(E29*J29,2)</f>
        <v>2224</v>
      </c>
      <c r="L29" s="161">
        <v>21</v>
      </c>
      <c r="M29" s="161">
        <f>G29*(1+L29/100)</f>
        <v>0</v>
      </c>
      <c r="N29" s="187">
        <v>0</v>
      </c>
      <c r="O29" s="187">
        <f>ROUND(E29*N29,2)</f>
        <v>0</v>
      </c>
      <c r="P29" s="187">
        <v>0</v>
      </c>
      <c r="Q29" s="187">
        <f>ROUND(E29*P29,2)</f>
        <v>0</v>
      </c>
      <c r="R29" s="161" t="s">
        <v>103</v>
      </c>
      <c r="S29" s="161" t="s">
        <v>161</v>
      </c>
      <c r="T29" s="161" t="s">
        <v>161</v>
      </c>
      <c r="U29" s="138"/>
      <c r="V29" s="138"/>
      <c r="W29" s="138"/>
      <c r="X29" s="138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</row>
    <row r="30" spans="1:60" ht="24" customHeight="1" outlineLevel="1" x14ac:dyDescent="0.2">
      <c r="A30" s="183"/>
      <c r="B30" s="165"/>
      <c r="C30" s="309" t="s">
        <v>127</v>
      </c>
      <c r="D30" s="310"/>
      <c r="E30" s="310"/>
      <c r="F30" s="310"/>
      <c r="G30" s="310"/>
      <c r="H30" s="138"/>
      <c r="I30" s="138"/>
      <c r="J30" s="138"/>
      <c r="K30" s="138"/>
      <c r="L30" s="138"/>
      <c r="M30" s="138"/>
      <c r="N30" s="193"/>
      <c r="O30" s="193"/>
      <c r="P30" s="193"/>
      <c r="Q30" s="193"/>
      <c r="R30" s="138"/>
      <c r="S30" s="138"/>
      <c r="T30" s="138"/>
      <c r="U30" s="138"/>
      <c r="V30" s="138"/>
      <c r="W30" s="138"/>
      <c r="X30" s="138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</row>
    <row r="31" spans="1:60" outlineLevel="1" x14ac:dyDescent="0.2">
      <c r="A31" s="183"/>
      <c r="B31" s="165"/>
      <c r="C31" s="211" t="s">
        <v>185</v>
      </c>
      <c r="D31" s="212"/>
      <c r="E31" s="213">
        <f>0.8*0.8*1*5</f>
        <v>3.2000000000000006</v>
      </c>
      <c r="F31" s="210"/>
      <c r="G31" s="210"/>
      <c r="H31" s="138"/>
      <c r="I31" s="138"/>
      <c r="J31" s="138"/>
      <c r="K31" s="138"/>
      <c r="L31" s="138"/>
      <c r="M31" s="138"/>
      <c r="N31" s="193"/>
      <c r="O31" s="193"/>
      <c r="P31" s="193"/>
      <c r="Q31" s="193"/>
      <c r="R31" s="138"/>
      <c r="S31" s="138"/>
      <c r="T31" s="138"/>
      <c r="U31" s="138"/>
      <c r="V31" s="138"/>
      <c r="W31" s="138"/>
      <c r="X31" s="138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</row>
    <row r="32" spans="1:60" outlineLevel="1" x14ac:dyDescent="0.2">
      <c r="A32" s="183"/>
      <c r="B32" s="165"/>
      <c r="C32" s="195"/>
      <c r="D32" s="196"/>
      <c r="E32" s="196"/>
      <c r="F32" s="196"/>
      <c r="G32" s="196"/>
      <c r="H32" s="138"/>
      <c r="I32" s="138"/>
      <c r="J32" s="138"/>
      <c r="K32" s="138"/>
      <c r="L32" s="138"/>
      <c r="M32" s="138"/>
      <c r="N32" s="138"/>
      <c r="O32" s="138"/>
      <c r="P32" s="138"/>
      <c r="Q32" s="138"/>
      <c r="R32" s="138"/>
      <c r="S32" s="138"/>
      <c r="T32" s="138"/>
      <c r="U32" s="138"/>
      <c r="V32" s="138"/>
      <c r="W32" s="138"/>
      <c r="X32" s="138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</row>
    <row r="33" spans="1:60" ht="22.5" outlineLevel="1" x14ac:dyDescent="0.2">
      <c r="A33" s="184">
        <v>7</v>
      </c>
      <c r="B33" s="185" t="s">
        <v>181</v>
      </c>
      <c r="C33" s="189" t="s">
        <v>180</v>
      </c>
      <c r="D33" s="186" t="s">
        <v>104</v>
      </c>
      <c r="E33" s="187">
        <f>E35</f>
        <v>138.25</v>
      </c>
      <c r="F33" s="188"/>
      <c r="G33" s="161">
        <f>ROUND(E33*F33,2)</f>
        <v>0</v>
      </c>
      <c r="H33" s="188">
        <v>0</v>
      </c>
      <c r="I33" s="161">
        <f>ROUND(E33*H33,2)</f>
        <v>0</v>
      </c>
      <c r="J33" s="188">
        <v>695</v>
      </c>
      <c r="K33" s="161">
        <f>ROUND(E33*J33,2)</f>
        <v>96083.75</v>
      </c>
      <c r="L33" s="161">
        <v>21</v>
      </c>
      <c r="M33" s="161">
        <f>G33*(1+L33/100)</f>
        <v>0</v>
      </c>
      <c r="N33" s="187">
        <v>0</v>
      </c>
      <c r="O33" s="187">
        <f>ROUND(E33*N33,2)</f>
        <v>0</v>
      </c>
      <c r="P33" s="187">
        <v>0</v>
      </c>
      <c r="Q33" s="187">
        <f>ROUND(E33*P33,2)</f>
        <v>0</v>
      </c>
      <c r="R33" s="161" t="s">
        <v>103</v>
      </c>
      <c r="S33" s="161" t="s">
        <v>161</v>
      </c>
      <c r="T33" s="161" t="s">
        <v>161</v>
      </c>
      <c r="U33" s="138"/>
      <c r="V33" s="138"/>
      <c r="W33" s="138"/>
      <c r="X33" s="138"/>
      <c r="Y33" s="135"/>
      <c r="Z33" s="135"/>
      <c r="AA33" s="135"/>
      <c r="AB33" s="135"/>
      <c r="AC33" s="135"/>
      <c r="AD33" s="135"/>
      <c r="AE33" s="135"/>
      <c r="AF33" s="135"/>
      <c r="AG33" s="135" t="s">
        <v>90</v>
      </c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</row>
    <row r="34" spans="1:60" ht="24" customHeight="1" outlineLevel="1" x14ac:dyDescent="0.2">
      <c r="A34" s="183"/>
      <c r="B34" s="165"/>
      <c r="C34" s="309" t="s">
        <v>127</v>
      </c>
      <c r="D34" s="310"/>
      <c r="E34" s="310"/>
      <c r="F34" s="310"/>
      <c r="G34" s="310"/>
      <c r="H34" s="138"/>
      <c r="I34" s="138"/>
      <c r="J34" s="138"/>
      <c r="K34" s="138"/>
      <c r="L34" s="138"/>
      <c r="M34" s="138"/>
      <c r="N34" s="193"/>
      <c r="O34" s="193"/>
      <c r="P34" s="193"/>
      <c r="Q34" s="193"/>
      <c r="R34" s="138"/>
      <c r="S34" s="138"/>
      <c r="T34" s="138"/>
      <c r="U34" s="138"/>
      <c r="V34" s="138"/>
      <c r="W34" s="138"/>
      <c r="X34" s="138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</row>
    <row r="35" spans="1:60" ht="12.75" customHeight="1" outlineLevel="1" x14ac:dyDescent="0.2">
      <c r="A35" s="183"/>
      <c r="B35" s="165"/>
      <c r="C35" s="211" t="s">
        <v>179</v>
      </c>
      <c r="D35" s="212"/>
      <c r="E35" s="213">
        <f>(600+190)*0.35/2</f>
        <v>138.25</v>
      </c>
      <c r="F35" s="210"/>
      <c r="G35" s="210"/>
      <c r="H35" s="138"/>
      <c r="I35" s="138"/>
      <c r="J35" s="138"/>
      <c r="K35" s="138"/>
      <c r="L35" s="138"/>
      <c r="M35" s="138"/>
      <c r="N35" s="193"/>
      <c r="O35" s="193"/>
      <c r="P35" s="193"/>
      <c r="Q35" s="193"/>
      <c r="R35" s="138"/>
      <c r="S35" s="138"/>
      <c r="T35" s="138"/>
      <c r="U35" s="138"/>
      <c r="V35" s="138"/>
      <c r="W35" s="138"/>
      <c r="X35" s="138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</row>
    <row r="36" spans="1:60" outlineLevel="1" x14ac:dyDescent="0.2">
      <c r="A36" s="183"/>
      <c r="B36" s="165"/>
      <c r="C36" s="195"/>
      <c r="D36" s="196"/>
      <c r="E36" s="196"/>
      <c r="F36" s="196"/>
      <c r="G36" s="196"/>
      <c r="H36" s="138"/>
      <c r="I36" s="138"/>
      <c r="J36" s="138"/>
      <c r="K36" s="138"/>
      <c r="L36" s="138"/>
      <c r="M36" s="138"/>
      <c r="N36" s="138"/>
      <c r="O36" s="138"/>
      <c r="P36" s="138"/>
      <c r="Q36" s="138"/>
      <c r="R36" s="138"/>
      <c r="S36" s="138"/>
      <c r="T36" s="138"/>
      <c r="U36" s="138"/>
      <c r="V36" s="138"/>
      <c r="W36" s="138"/>
      <c r="X36" s="138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</row>
    <row r="37" spans="1:60" ht="22.5" outlineLevel="1" x14ac:dyDescent="0.2">
      <c r="A37" s="184">
        <v>8</v>
      </c>
      <c r="B37" s="185" t="s">
        <v>186</v>
      </c>
      <c r="C37" s="189" t="s">
        <v>184</v>
      </c>
      <c r="D37" s="186" t="s">
        <v>104</v>
      </c>
      <c r="E37" s="187">
        <f>E39</f>
        <v>7.2</v>
      </c>
      <c r="F37" s="188"/>
      <c r="G37" s="161">
        <f>ROUND(E37*F37,2)</f>
        <v>0</v>
      </c>
      <c r="H37" s="188">
        <v>0</v>
      </c>
      <c r="I37" s="161">
        <f>ROUND(E37*H37,2)</f>
        <v>0</v>
      </c>
      <c r="J37" s="188">
        <v>695</v>
      </c>
      <c r="K37" s="161">
        <f>ROUND(E37*J37,2)</f>
        <v>5004</v>
      </c>
      <c r="L37" s="161">
        <v>21</v>
      </c>
      <c r="M37" s="161">
        <f>G37*(1+L37/100)</f>
        <v>0</v>
      </c>
      <c r="N37" s="187">
        <v>0</v>
      </c>
      <c r="O37" s="187">
        <f>ROUND(E37*N37,2)</f>
        <v>0</v>
      </c>
      <c r="P37" s="187">
        <v>0</v>
      </c>
      <c r="Q37" s="187">
        <f>ROUND(E37*P37,2)</f>
        <v>0</v>
      </c>
      <c r="R37" s="161" t="s">
        <v>103</v>
      </c>
      <c r="S37" s="161" t="s">
        <v>161</v>
      </c>
      <c r="T37" s="161" t="s">
        <v>161</v>
      </c>
      <c r="U37" s="138"/>
      <c r="V37" s="138"/>
      <c r="W37" s="138"/>
      <c r="X37" s="138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</row>
    <row r="38" spans="1:60" ht="12.75" customHeight="1" outlineLevel="1" x14ac:dyDescent="0.2">
      <c r="A38" s="183"/>
      <c r="B38" s="165"/>
      <c r="C38" s="309" t="s">
        <v>127</v>
      </c>
      <c r="D38" s="310"/>
      <c r="E38" s="310"/>
      <c r="F38" s="310"/>
      <c r="G38" s="310"/>
      <c r="H38" s="138"/>
      <c r="I38" s="138"/>
      <c r="J38" s="138"/>
      <c r="K38" s="138"/>
      <c r="L38" s="138"/>
      <c r="M38" s="138"/>
      <c r="N38" s="193"/>
      <c r="O38" s="193"/>
      <c r="P38" s="193"/>
      <c r="Q38" s="193"/>
      <c r="R38" s="138"/>
      <c r="S38" s="138"/>
      <c r="T38" s="138"/>
      <c r="U38" s="138"/>
      <c r="V38" s="138"/>
      <c r="W38" s="138"/>
      <c r="X38" s="138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</row>
    <row r="39" spans="1:60" outlineLevel="1" x14ac:dyDescent="0.2">
      <c r="A39" s="183"/>
      <c r="B39" s="165"/>
      <c r="C39" s="324" t="s">
        <v>191</v>
      </c>
      <c r="D39" s="324"/>
      <c r="E39" s="213">
        <f>8*0.5*1.5+12*0.5*0.2</f>
        <v>7.2</v>
      </c>
      <c r="F39" s="210"/>
      <c r="G39" s="210"/>
      <c r="H39" s="138"/>
      <c r="I39" s="138"/>
      <c r="J39" s="138"/>
      <c r="K39" s="138"/>
      <c r="L39" s="138"/>
      <c r="M39" s="138"/>
      <c r="N39" s="193"/>
      <c r="O39" s="193"/>
      <c r="P39" s="193"/>
      <c r="Q39" s="193"/>
      <c r="R39" s="138"/>
      <c r="S39" s="138"/>
      <c r="T39" s="138"/>
      <c r="U39" s="138"/>
      <c r="V39" s="138"/>
      <c r="W39" s="138"/>
      <c r="X39" s="138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</row>
    <row r="40" spans="1:60" outlineLevel="1" x14ac:dyDescent="0.2">
      <c r="A40" s="183"/>
      <c r="B40" s="165"/>
      <c r="C40" s="195"/>
      <c r="D40" s="196"/>
      <c r="E40" s="196"/>
      <c r="F40" s="196"/>
      <c r="G40" s="196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</row>
    <row r="41" spans="1:60" x14ac:dyDescent="0.2">
      <c r="A41" s="184">
        <f>A37+1</f>
        <v>9</v>
      </c>
      <c r="B41" s="185" t="s">
        <v>193</v>
      </c>
      <c r="C41" s="189" t="s">
        <v>192</v>
      </c>
      <c r="D41" s="186" t="s">
        <v>104</v>
      </c>
      <c r="E41" s="187">
        <f>E43+E44</f>
        <v>144.65</v>
      </c>
      <c r="F41" s="188"/>
      <c r="G41" s="161">
        <f>ROUND(E41*F41,2)</f>
        <v>0</v>
      </c>
      <c r="H41" s="188">
        <v>0</v>
      </c>
      <c r="I41" s="161">
        <f>ROUND(E41*H41,2)</f>
        <v>0</v>
      </c>
      <c r="J41" s="188">
        <v>259.5</v>
      </c>
      <c r="K41" s="161">
        <f>ROUND(E41*J41,2)</f>
        <v>37536.68</v>
      </c>
      <c r="L41" s="161">
        <v>21</v>
      </c>
      <c r="M41" s="161">
        <f>G41*(1+L41/100)</f>
        <v>0</v>
      </c>
      <c r="N41" s="161">
        <v>0</v>
      </c>
      <c r="O41" s="161">
        <f>ROUND(E41*N41,2)</f>
        <v>0</v>
      </c>
      <c r="P41" s="161">
        <v>0</v>
      </c>
      <c r="Q41" s="161">
        <f>ROUND(E41*P41,2)</f>
        <v>0</v>
      </c>
      <c r="R41" s="161" t="s">
        <v>103</v>
      </c>
      <c r="S41" s="161" t="s">
        <v>161</v>
      </c>
      <c r="T41" s="161" t="s">
        <v>161</v>
      </c>
      <c r="U41" s="139"/>
      <c r="V41" s="139"/>
      <c r="W41" s="139"/>
      <c r="X41" s="139"/>
    </row>
    <row r="42" spans="1:60" outlineLevel="1" x14ac:dyDescent="0.2">
      <c r="A42" s="183"/>
      <c r="B42" s="165"/>
      <c r="C42" s="309" t="s">
        <v>128</v>
      </c>
      <c r="D42" s="310"/>
      <c r="E42" s="310"/>
      <c r="F42" s="310"/>
      <c r="G42" s="310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138"/>
      <c r="S42" s="138"/>
      <c r="T42" s="138"/>
      <c r="U42" s="138"/>
      <c r="V42" s="138"/>
      <c r="W42" s="138"/>
      <c r="X42" s="138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</row>
    <row r="43" spans="1:60" outlineLevel="1" x14ac:dyDescent="0.2">
      <c r="A43" s="183"/>
      <c r="B43" s="165"/>
      <c r="C43" s="211" t="s">
        <v>179</v>
      </c>
      <c r="D43" s="212"/>
      <c r="E43" s="213">
        <f>(600+190)*0.35/2</f>
        <v>138.25</v>
      </c>
      <c r="F43" s="210"/>
      <c r="G43" s="210"/>
      <c r="H43" s="138"/>
      <c r="I43" s="138"/>
      <c r="J43" s="138"/>
      <c r="K43" s="138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38"/>
      <c r="W43" s="138"/>
      <c r="X43" s="138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</row>
    <row r="44" spans="1:60" outlineLevel="1" x14ac:dyDescent="0.2">
      <c r="A44" s="183"/>
      <c r="B44" s="165"/>
      <c r="C44" s="324" t="s">
        <v>195</v>
      </c>
      <c r="D44" s="324"/>
      <c r="E44" s="213">
        <f>E31+E39-E51</f>
        <v>6.4</v>
      </c>
      <c r="F44" s="210"/>
      <c r="G44" s="210"/>
      <c r="H44" s="138"/>
      <c r="I44" s="138"/>
      <c r="J44" s="138"/>
      <c r="K44" s="138"/>
      <c r="L44" s="138"/>
      <c r="M44" s="138"/>
      <c r="N44" s="138"/>
      <c r="O44" s="138"/>
      <c r="P44" s="138"/>
      <c r="Q44" s="138"/>
      <c r="R44" s="138"/>
      <c r="S44" s="138"/>
      <c r="T44" s="138"/>
      <c r="U44" s="138"/>
      <c r="V44" s="138"/>
      <c r="W44" s="138"/>
      <c r="X44" s="138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</row>
    <row r="45" spans="1:60" outlineLevel="1" x14ac:dyDescent="0.2">
      <c r="A45" s="183"/>
      <c r="B45" s="165"/>
      <c r="C45" s="195"/>
      <c r="D45" s="196"/>
      <c r="E45" s="196"/>
      <c r="F45" s="196"/>
      <c r="G45" s="196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38"/>
      <c r="W45" s="138"/>
      <c r="X45" s="138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</row>
    <row r="46" spans="1:60" ht="22.5" outlineLevel="1" x14ac:dyDescent="0.2">
      <c r="A46" s="184">
        <f>A41+1</f>
        <v>10</v>
      </c>
      <c r="B46" s="185" t="s">
        <v>197</v>
      </c>
      <c r="C46" s="189" t="s">
        <v>194</v>
      </c>
      <c r="D46" s="186" t="s">
        <v>104</v>
      </c>
      <c r="E46" s="187">
        <f>E47</f>
        <v>1446.5</v>
      </c>
      <c r="F46" s="188"/>
      <c r="G46" s="161">
        <f>ROUND(E46*F46,2)</f>
        <v>0</v>
      </c>
      <c r="H46" s="188">
        <v>0</v>
      </c>
      <c r="I46" s="161">
        <f>ROUND(E46*H46,2)</f>
        <v>0</v>
      </c>
      <c r="J46" s="188">
        <v>259.5</v>
      </c>
      <c r="K46" s="161">
        <f>ROUND(E46*J46,2)</f>
        <v>375366.75</v>
      </c>
      <c r="L46" s="161">
        <v>21</v>
      </c>
      <c r="M46" s="161">
        <f>G46*(1+L46/100)</f>
        <v>0</v>
      </c>
      <c r="N46" s="161">
        <v>0</v>
      </c>
      <c r="O46" s="161">
        <f>ROUND(E46*N46,2)</f>
        <v>0</v>
      </c>
      <c r="P46" s="161">
        <v>0</v>
      </c>
      <c r="Q46" s="161">
        <f>ROUND(E46*P46,2)</f>
        <v>0</v>
      </c>
      <c r="R46" s="161" t="s">
        <v>103</v>
      </c>
      <c r="S46" s="161" t="s">
        <v>161</v>
      </c>
      <c r="T46" s="161" t="s">
        <v>161</v>
      </c>
      <c r="U46" s="138"/>
      <c r="V46" s="138"/>
      <c r="W46" s="138"/>
      <c r="X46" s="138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</row>
    <row r="47" spans="1:60" outlineLevel="1" x14ac:dyDescent="0.2">
      <c r="A47" s="183"/>
      <c r="B47" s="165"/>
      <c r="C47" s="324" t="s">
        <v>196</v>
      </c>
      <c r="D47" s="324"/>
      <c r="E47" s="213">
        <f>E41*10</f>
        <v>1446.5</v>
      </c>
      <c r="F47" s="210"/>
      <c r="G47" s="210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38"/>
      <c r="W47" s="138"/>
      <c r="X47" s="138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</row>
    <row r="48" spans="1:60" outlineLevel="1" x14ac:dyDescent="0.2">
      <c r="A48" s="183"/>
      <c r="B48" s="165"/>
      <c r="C48" s="195"/>
      <c r="D48" s="196"/>
      <c r="E48" s="196"/>
      <c r="F48" s="196"/>
      <c r="G48" s="196"/>
      <c r="H48" s="138"/>
      <c r="I48" s="138"/>
      <c r="J48" s="138"/>
      <c r="K48" s="138"/>
      <c r="L48" s="138"/>
      <c r="M48" s="138"/>
      <c r="N48" s="138"/>
      <c r="O48" s="138"/>
      <c r="P48" s="138"/>
      <c r="Q48" s="138"/>
      <c r="R48" s="138"/>
      <c r="S48" s="138"/>
      <c r="T48" s="138"/>
      <c r="U48" s="138"/>
      <c r="V48" s="138"/>
      <c r="W48" s="138"/>
      <c r="X48" s="138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</row>
    <row r="49" spans="1:60" outlineLevel="1" x14ac:dyDescent="0.2">
      <c r="A49" s="184">
        <f>A46+1</f>
        <v>11</v>
      </c>
      <c r="B49" s="185" t="s">
        <v>189</v>
      </c>
      <c r="C49" s="189" t="s">
        <v>187</v>
      </c>
      <c r="D49" s="186" t="s">
        <v>104</v>
      </c>
      <c r="E49" s="187">
        <f>E51</f>
        <v>4</v>
      </c>
      <c r="F49" s="188"/>
      <c r="G49" s="161">
        <f>ROUND(E49*F49,2)</f>
        <v>0</v>
      </c>
      <c r="H49" s="188">
        <v>0</v>
      </c>
      <c r="I49" s="161">
        <f>ROUND(E49*H49,2)</f>
        <v>0</v>
      </c>
      <c r="J49" s="188">
        <v>695</v>
      </c>
      <c r="K49" s="161">
        <f>ROUND(E49*J49,2)</f>
        <v>2780</v>
      </c>
      <c r="L49" s="161">
        <v>21</v>
      </c>
      <c r="M49" s="161">
        <f>G49*(1+L49/100)</f>
        <v>0</v>
      </c>
      <c r="N49" s="187">
        <v>0</v>
      </c>
      <c r="O49" s="187">
        <f>ROUND(E49*N49,2)</f>
        <v>0</v>
      </c>
      <c r="P49" s="187">
        <v>0</v>
      </c>
      <c r="Q49" s="187">
        <f>ROUND(E49*P49,2)</f>
        <v>0</v>
      </c>
      <c r="R49" s="161" t="s">
        <v>103</v>
      </c>
      <c r="S49" s="161" t="s">
        <v>161</v>
      </c>
      <c r="T49" s="161" t="s">
        <v>161</v>
      </c>
      <c r="U49" s="138"/>
      <c r="V49" s="138"/>
      <c r="W49" s="138"/>
      <c r="X49" s="138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</row>
    <row r="50" spans="1:60" outlineLevel="1" x14ac:dyDescent="0.2">
      <c r="A50" s="183"/>
      <c r="B50" s="165"/>
      <c r="C50" s="309" t="s">
        <v>188</v>
      </c>
      <c r="D50" s="310"/>
      <c r="E50" s="310"/>
      <c r="F50" s="310"/>
      <c r="G50" s="310"/>
      <c r="H50" s="138"/>
      <c r="I50" s="138"/>
      <c r="J50" s="138"/>
      <c r="K50" s="138"/>
      <c r="L50" s="138"/>
      <c r="M50" s="138"/>
      <c r="N50" s="193"/>
      <c r="O50" s="193"/>
      <c r="P50" s="193"/>
      <c r="Q50" s="193"/>
      <c r="R50" s="138"/>
      <c r="S50" s="138"/>
      <c r="T50" s="138"/>
      <c r="U50" s="138"/>
      <c r="V50" s="138"/>
      <c r="W50" s="138"/>
      <c r="X50" s="138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</row>
    <row r="51" spans="1:60" outlineLevel="1" x14ac:dyDescent="0.2">
      <c r="A51" s="183"/>
      <c r="B51" s="165"/>
      <c r="C51" s="324" t="s">
        <v>190</v>
      </c>
      <c r="D51" s="324"/>
      <c r="E51" s="213">
        <f>8*0.5*1</f>
        <v>4</v>
      </c>
      <c r="F51" s="210"/>
      <c r="G51" s="210"/>
      <c r="H51" s="138"/>
      <c r="I51" s="138"/>
      <c r="J51" s="138"/>
      <c r="K51" s="138"/>
      <c r="L51" s="138"/>
      <c r="M51" s="138"/>
      <c r="N51" s="193"/>
      <c r="O51" s="193"/>
      <c r="P51" s="193"/>
      <c r="Q51" s="193"/>
      <c r="R51" s="138"/>
      <c r="S51" s="138"/>
      <c r="T51" s="138"/>
      <c r="U51" s="138"/>
      <c r="V51" s="138"/>
      <c r="W51" s="138"/>
      <c r="X51" s="138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</row>
    <row r="52" spans="1:60" outlineLevel="1" x14ac:dyDescent="0.2">
      <c r="A52" s="183"/>
      <c r="B52" s="165"/>
      <c r="C52" s="195"/>
      <c r="D52" s="196"/>
      <c r="E52" s="196"/>
      <c r="F52" s="196"/>
      <c r="G52" s="196"/>
      <c r="H52" s="138"/>
      <c r="I52" s="138"/>
      <c r="J52" s="138"/>
      <c r="K52" s="138"/>
      <c r="L52" s="138"/>
      <c r="M52" s="138"/>
      <c r="N52" s="138"/>
      <c r="O52" s="138"/>
      <c r="P52" s="138"/>
      <c r="Q52" s="138"/>
      <c r="R52" s="138"/>
      <c r="S52" s="138"/>
      <c r="T52" s="138"/>
      <c r="U52" s="138"/>
      <c r="V52" s="138"/>
      <c r="W52" s="138"/>
      <c r="X52" s="138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</row>
    <row r="53" spans="1:60" outlineLevel="1" x14ac:dyDescent="0.2">
      <c r="A53" s="184">
        <f>A49+1</f>
        <v>12</v>
      </c>
      <c r="B53" s="185" t="s">
        <v>306</v>
      </c>
      <c r="C53" s="189" t="s">
        <v>307</v>
      </c>
      <c r="D53" s="186" t="s">
        <v>104</v>
      </c>
      <c r="E53" s="187">
        <f>E54</f>
        <v>3.2</v>
      </c>
      <c r="F53" s="188"/>
      <c r="G53" s="161">
        <f>ROUND(E53*F53,2)</f>
        <v>0</v>
      </c>
      <c r="H53" s="188">
        <v>0</v>
      </c>
      <c r="I53" s="161">
        <f>ROUND(E53*H53,2)</f>
        <v>0</v>
      </c>
      <c r="J53" s="188">
        <v>695</v>
      </c>
      <c r="K53" s="161">
        <f>ROUND(E53*J53,2)</f>
        <v>2224</v>
      </c>
      <c r="L53" s="161">
        <v>21</v>
      </c>
      <c r="M53" s="161">
        <f>G53*(1+L53/100)</f>
        <v>0</v>
      </c>
      <c r="N53" s="187">
        <v>0</v>
      </c>
      <c r="O53" s="187">
        <f>ROUND(E53*N53,2)</f>
        <v>0</v>
      </c>
      <c r="P53" s="187">
        <v>0</v>
      </c>
      <c r="Q53" s="187">
        <f>ROUND(E53*P53,2)</f>
        <v>0</v>
      </c>
      <c r="R53" s="161" t="s">
        <v>103</v>
      </c>
      <c r="S53" s="161" t="s">
        <v>161</v>
      </c>
      <c r="T53" s="161" t="s">
        <v>161</v>
      </c>
      <c r="U53" s="138"/>
      <c r="V53" s="138"/>
      <c r="W53" s="138"/>
      <c r="X53" s="138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</row>
    <row r="54" spans="1:60" outlineLevel="1" x14ac:dyDescent="0.2">
      <c r="A54" s="183"/>
      <c r="B54" s="165"/>
      <c r="C54" s="324" t="s">
        <v>308</v>
      </c>
      <c r="D54" s="324"/>
      <c r="E54" s="213">
        <f>7.2-4</f>
        <v>3.2</v>
      </c>
      <c r="F54" s="210"/>
      <c r="G54" s="210"/>
      <c r="H54" s="138"/>
      <c r="I54" s="138"/>
      <c r="J54" s="138"/>
      <c r="K54" s="138"/>
      <c r="L54" s="138"/>
      <c r="M54" s="138"/>
      <c r="N54" s="193"/>
      <c r="O54" s="193"/>
      <c r="P54" s="193"/>
      <c r="Q54" s="193"/>
      <c r="R54" s="138"/>
      <c r="S54" s="138"/>
      <c r="T54" s="138"/>
      <c r="U54" s="138"/>
      <c r="V54" s="138"/>
      <c r="W54" s="138"/>
      <c r="X54" s="138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</row>
    <row r="55" spans="1:60" outlineLevel="1" x14ac:dyDescent="0.2">
      <c r="A55" s="183"/>
      <c r="B55" s="165"/>
      <c r="C55" s="195"/>
      <c r="D55" s="196"/>
      <c r="E55" s="196"/>
      <c r="F55" s="196"/>
      <c r="G55" s="196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8"/>
      <c r="T55" s="138"/>
      <c r="U55" s="138"/>
      <c r="V55" s="138"/>
      <c r="W55" s="138"/>
      <c r="X55" s="138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</row>
    <row r="56" spans="1:60" ht="22.5" outlineLevel="1" x14ac:dyDescent="0.2">
      <c r="A56" s="184">
        <f>A53+1</f>
        <v>13</v>
      </c>
      <c r="B56" s="214" t="s">
        <v>309</v>
      </c>
      <c r="C56" s="215" t="s">
        <v>311</v>
      </c>
      <c r="D56" s="186" t="s">
        <v>106</v>
      </c>
      <c r="E56" s="187">
        <f>3.2*1.6</f>
        <v>5.120000000000001</v>
      </c>
      <c r="F56" s="188"/>
      <c r="G56" s="161">
        <f>ROUND(E56*F56,2)</f>
        <v>0</v>
      </c>
      <c r="H56" s="188">
        <v>0</v>
      </c>
      <c r="I56" s="161">
        <f>ROUND(E56*H56,2)</f>
        <v>0</v>
      </c>
      <c r="J56" s="188">
        <v>695</v>
      </c>
      <c r="K56" s="161">
        <f>ROUND(E56*J56,2)</f>
        <v>3558.4</v>
      </c>
      <c r="L56" s="161">
        <v>21</v>
      </c>
      <c r="M56" s="161">
        <f>G56*(1+L56/100)</f>
        <v>0</v>
      </c>
      <c r="N56" s="187">
        <v>0</v>
      </c>
      <c r="O56" s="187">
        <f>ROUND(E56*N56,2)</f>
        <v>0</v>
      </c>
      <c r="P56" s="187">
        <v>0</v>
      </c>
      <c r="Q56" s="187">
        <f>ROUND(E56*P56,2)</f>
        <v>0</v>
      </c>
      <c r="R56" s="161" t="s">
        <v>103</v>
      </c>
      <c r="S56" s="161" t="s">
        <v>161</v>
      </c>
      <c r="T56" s="161" t="s">
        <v>161</v>
      </c>
      <c r="U56" s="138"/>
      <c r="V56" s="138"/>
      <c r="W56" s="138"/>
      <c r="X56" s="138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</row>
    <row r="57" spans="1:60" outlineLevel="1" x14ac:dyDescent="0.2">
      <c r="A57" s="183"/>
      <c r="B57" s="216"/>
      <c r="C57" s="324" t="s">
        <v>310</v>
      </c>
      <c r="D57" s="324"/>
      <c r="E57" s="213">
        <f>3.2*1.6</f>
        <v>5.120000000000001</v>
      </c>
      <c r="F57" s="210"/>
      <c r="G57" s="210"/>
      <c r="H57" s="190"/>
      <c r="I57" s="138"/>
      <c r="J57" s="190"/>
      <c r="K57" s="138"/>
      <c r="L57" s="138"/>
      <c r="M57" s="138"/>
      <c r="N57" s="193"/>
      <c r="O57" s="193"/>
      <c r="P57" s="193"/>
      <c r="Q57" s="193"/>
      <c r="R57" s="138"/>
      <c r="S57" s="138"/>
      <c r="T57" s="138"/>
      <c r="U57" s="138"/>
      <c r="V57" s="138"/>
      <c r="W57" s="138"/>
      <c r="X57" s="138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</row>
    <row r="58" spans="1:60" outlineLevel="1" x14ac:dyDescent="0.2">
      <c r="A58" s="183"/>
      <c r="B58" s="165"/>
      <c r="C58" s="195"/>
      <c r="D58" s="196"/>
      <c r="E58" s="196"/>
      <c r="F58" s="196"/>
      <c r="G58" s="196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</row>
    <row r="59" spans="1:60" outlineLevel="1" x14ac:dyDescent="0.2">
      <c r="A59" s="184">
        <f>A56+1</f>
        <v>14</v>
      </c>
      <c r="B59" s="185" t="s">
        <v>198</v>
      </c>
      <c r="C59" s="189" t="s">
        <v>129</v>
      </c>
      <c r="D59" s="186" t="s">
        <v>92</v>
      </c>
      <c r="E59" s="187">
        <v>30</v>
      </c>
      <c r="F59" s="188"/>
      <c r="G59" s="161">
        <f>ROUND(E59*F59,2)</f>
        <v>0</v>
      </c>
      <c r="H59" s="188">
        <v>1.68</v>
      </c>
      <c r="I59" s="161">
        <f>ROUND(E59*H59,2)</f>
        <v>50.4</v>
      </c>
      <c r="J59" s="188">
        <v>22.42</v>
      </c>
      <c r="K59" s="161">
        <f>ROUND(E59*J59,2)</f>
        <v>672.6</v>
      </c>
      <c r="L59" s="161">
        <v>21</v>
      </c>
      <c r="M59" s="161">
        <f>G59*(1+L59/100)</f>
        <v>0</v>
      </c>
      <c r="N59" s="161">
        <v>0</v>
      </c>
      <c r="O59" s="161">
        <f>ROUND(E59*N59,2)</f>
        <v>0</v>
      </c>
      <c r="P59" s="161">
        <v>0</v>
      </c>
      <c r="Q59" s="161">
        <f>ROUND(E59*P59,2)</f>
        <v>0</v>
      </c>
      <c r="R59" s="161" t="s">
        <v>105</v>
      </c>
      <c r="S59" s="161" t="s">
        <v>161</v>
      </c>
      <c r="T59" s="161" t="s">
        <v>161</v>
      </c>
      <c r="U59" s="138">
        <v>3.6999999999999998E-2</v>
      </c>
      <c r="V59" s="138">
        <f>ROUND(E59*U59,2)</f>
        <v>1.1100000000000001</v>
      </c>
      <c r="W59" s="138"/>
      <c r="X59" s="138" t="s">
        <v>99</v>
      </c>
      <c r="Y59" s="135"/>
      <c r="Z59" s="135"/>
      <c r="AA59" s="135"/>
      <c r="AB59" s="135"/>
      <c r="AC59" s="135"/>
      <c r="AD59" s="135"/>
      <c r="AE59" s="135"/>
      <c r="AF59" s="135"/>
      <c r="AG59" s="135" t="s">
        <v>100</v>
      </c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</row>
    <row r="60" spans="1:60" ht="13.15" customHeight="1" outlineLevel="1" x14ac:dyDescent="0.2">
      <c r="A60" s="183"/>
      <c r="B60" s="165"/>
      <c r="C60" s="309" t="s">
        <v>130</v>
      </c>
      <c r="D60" s="310"/>
      <c r="E60" s="310"/>
      <c r="F60" s="310"/>
      <c r="G60" s="310"/>
      <c r="H60" s="138"/>
      <c r="I60" s="138"/>
      <c r="J60" s="138"/>
      <c r="K60" s="138"/>
      <c r="L60" s="138"/>
      <c r="M60" s="138"/>
      <c r="N60" s="138"/>
      <c r="O60" s="138"/>
      <c r="P60" s="138"/>
      <c r="Q60" s="138"/>
      <c r="R60" s="138"/>
      <c r="S60" s="138"/>
      <c r="T60" s="138"/>
      <c r="U60" s="138"/>
      <c r="V60" s="138"/>
      <c r="W60" s="138"/>
      <c r="X60" s="138"/>
      <c r="Y60" s="135"/>
      <c r="Z60" s="135"/>
      <c r="AA60" s="135"/>
      <c r="AB60" s="135"/>
      <c r="AC60" s="135"/>
      <c r="AD60" s="135"/>
      <c r="AE60" s="135"/>
      <c r="AF60" s="135"/>
      <c r="AG60" s="135" t="s">
        <v>101</v>
      </c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</row>
    <row r="61" spans="1:60" outlineLevel="1" x14ac:dyDescent="0.2">
      <c r="A61" s="183"/>
      <c r="B61" s="165"/>
      <c r="C61" s="322"/>
      <c r="D61" s="323"/>
      <c r="E61" s="323"/>
      <c r="F61" s="323"/>
      <c r="G61" s="323"/>
      <c r="H61" s="138"/>
      <c r="I61" s="138"/>
      <c r="J61" s="138"/>
      <c r="K61" s="138"/>
      <c r="L61" s="138"/>
      <c r="M61" s="138"/>
      <c r="N61" s="138"/>
      <c r="O61" s="138"/>
      <c r="P61" s="138"/>
      <c r="Q61" s="138"/>
      <c r="R61" s="138"/>
      <c r="S61" s="138"/>
      <c r="T61" s="138"/>
      <c r="U61" s="138"/>
      <c r="V61" s="138"/>
      <c r="W61" s="138"/>
      <c r="X61" s="138"/>
      <c r="Y61" s="135"/>
      <c r="Z61" s="135"/>
      <c r="AA61" s="135"/>
      <c r="AB61" s="135"/>
      <c r="AC61" s="135"/>
      <c r="AD61" s="135"/>
      <c r="AE61" s="135"/>
      <c r="AF61" s="135"/>
      <c r="AG61" s="135" t="s">
        <v>90</v>
      </c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</row>
    <row r="62" spans="1:60" outlineLevel="1" x14ac:dyDescent="0.2">
      <c r="A62" s="184">
        <f>A59+1</f>
        <v>15</v>
      </c>
      <c r="B62" s="185" t="s">
        <v>199</v>
      </c>
      <c r="C62" s="189" t="s">
        <v>202</v>
      </c>
      <c r="D62" s="186" t="s">
        <v>92</v>
      </c>
      <c r="E62" s="187">
        <f>E59</f>
        <v>30</v>
      </c>
      <c r="F62" s="188"/>
      <c r="G62" s="161">
        <f>ROUND(E62*F62,2)</f>
        <v>0</v>
      </c>
      <c r="H62" s="188">
        <v>0</v>
      </c>
      <c r="I62" s="161">
        <f>ROUND(E62*H62,2)</f>
        <v>0</v>
      </c>
      <c r="J62" s="188">
        <v>17.399999999999999</v>
      </c>
      <c r="K62" s="161">
        <f>ROUND(E62*J62,2)</f>
        <v>522</v>
      </c>
      <c r="L62" s="161">
        <v>21</v>
      </c>
      <c r="M62" s="161">
        <f>G62*(1+L62/100)</f>
        <v>0</v>
      </c>
      <c r="N62" s="161">
        <v>0</v>
      </c>
      <c r="O62" s="161">
        <f>ROUND(E62*N62,2)</f>
        <v>0</v>
      </c>
      <c r="P62" s="161">
        <v>0</v>
      </c>
      <c r="Q62" s="161">
        <f>ROUND(E62*P62,2)</f>
        <v>0</v>
      </c>
      <c r="R62" s="161" t="s">
        <v>131</v>
      </c>
      <c r="S62" s="161" t="s">
        <v>161</v>
      </c>
      <c r="T62" s="161" t="s">
        <v>161</v>
      </c>
      <c r="U62" s="138"/>
      <c r="V62" s="138"/>
      <c r="W62" s="138"/>
      <c r="X62" s="138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</row>
    <row r="63" spans="1:60" outlineLevel="1" x14ac:dyDescent="0.2">
      <c r="A63" s="183"/>
      <c r="B63" s="165"/>
      <c r="C63" s="195"/>
      <c r="D63" s="196"/>
      <c r="E63" s="196"/>
      <c r="F63" s="196"/>
      <c r="G63" s="196"/>
      <c r="H63" s="138"/>
      <c r="I63" s="138"/>
      <c r="J63" s="138"/>
      <c r="K63" s="138"/>
      <c r="L63" s="138"/>
      <c r="M63" s="138"/>
      <c r="N63" s="138"/>
      <c r="O63" s="138"/>
      <c r="P63" s="138"/>
      <c r="Q63" s="138"/>
      <c r="R63" s="138"/>
      <c r="S63" s="138"/>
      <c r="T63" s="138"/>
      <c r="U63" s="138"/>
      <c r="V63" s="138"/>
      <c r="W63" s="138"/>
      <c r="X63" s="138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</row>
    <row r="64" spans="1:60" outlineLevel="1" x14ac:dyDescent="0.2">
      <c r="A64" s="184">
        <f>A62+1</f>
        <v>16</v>
      </c>
      <c r="B64" s="214" t="s">
        <v>201</v>
      </c>
      <c r="C64" s="215" t="s">
        <v>203</v>
      </c>
      <c r="D64" s="186" t="s">
        <v>104</v>
      </c>
      <c r="E64" s="187">
        <f>E65</f>
        <v>3</v>
      </c>
      <c r="F64" s="188"/>
      <c r="G64" s="161">
        <f>ROUND(E64*F64,2)</f>
        <v>0</v>
      </c>
      <c r="H64" s="188">
        <v>0</v>
      </c>
      <c r="I64" s="161">
        <f>ROUND(E64*H64,2)</f>
        <v>0</v>
      </c>
      <c r="J64" s="188">
        <v>17.399999999999999</v>
      </c>
      <c r="K64" s="161">
        <f>ROUND(E64*J64,2)</f>
        <v>52.2</v>
      </c>
      <c r="L64" s="161">
        <v>21</v>
      </c>
      <c r="M64" s="161">
        <f>G64*(1+L64/100)</f>
        <v>0</v>
      </c>
      <c r="N64" s="161">
        <v>0</v>
      </c>
      <c r="O64" s="161">
        <f>ROUND(E64*N64,2)</f>
        <v>0</v>
      </c>
      <c r="P64" s="161">
        <v>0</v>
      </c>
      <c r="Q64" s="161">
        <f>ROUND(E64*P64,2)</f>
        <v>0</v>
      </c>
      <c r="R64" s="161" t="s">
        <v>131</v>
      </c>
      <c r="S64" s="161" t="s">
        <v>161</v>
      </c>
      <c r="T64" s="161" t="s">
        <v>161</v>
      </c>
      <c r="U64" s="138"/>
      <c r="V64" s="138"/>
      <c r="W64" s="138"/>
      <c r="X64" s="138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</row>
    <row r="65" spans="1:60" outlineLevel="1" x14ac:dyDescent="0.2">
      <c r="A65" s="183"/>
      <c r="B65" s="165"/>
      <c r="C65" s="324" t="s">
        <v>200</v>
      </c>
      <c r="D65" s="324"/>
      <c r="E65" s="213">
        <f>30*0.1</f>
        <v>3</v>
      </c>
      <c r="F65" s="210"/>
      <c r="G65" s="210"/>
      <c r="H65" s="190"/>
      <c r="I65" s="138"/>
      <c r="J65" s="190"/>
      <c r="K65" s="138"/>
      <c r="L65" s="138"/>
      <c r="M65" s="138"/>
      <c r="N65" s="138"/>
      <c r="O65" s="138"/>
      <c r="P65" s="138"/>
      <c r="Q65" s="138"/>
      <c r="R65" s="138"/>
      <c r="S65" s="138"/>
      <c r="T65" s="138"/>
      <c r="U65" s="138"/>
      <c r="V65" s="138"/>
      <c r="W65" s="138"/>
      <c r="X65" s="138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</row>
    <row r="66" spans="1:60" outlineLevel="1" x14ac:dyDescent="0.2">
      <c r="A66" s="183"/>
      <c r="B66" s="165"/>
      <c r="C66" s="195"/>
      <c r="D66" s="196"/>
      <c r="E66" s="196"/>
      <c r="F66" s="196"/>
      <c r="G66" s="196"/>
      <c r="H66" s="138"/>
      <c r="I66" s="138"/>
      <c r="J66" s="138"/>
      <c r="K66" s="138"/>
      <c r="L66" s="138"/>
      <c r="M66" s="138"/>
      <c r="N66" s="138"/>
      <c r="O66" s="138"/>
      <c r="P66" s="138"/>
      <c r="Q66" s="138"/>
      <c r="R66" s="138"/>
      <c r="S66" s="138"/>
      <c r="T66" s="138"/>
      <c r="U66" s="138"/>
      <c r="V66" s="138"/>
      <c r="W66" s="138"/>
      <c r="X66" s="138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</row>
    <row r="67" spans="1:60" outlineLevel="1" x14ac:dyDescent="0.2">
      <c r="A67" s="184">
        <f>A64+1</f>
        <v>17</v>
      </c>
      <c r="B67" s="185" t="s">
        <v>204</v>
      </c>
      <c r="C67" s="189" t="s">
        <v>122</v>
      </c>
      <c r="D67" s="186" t="s">
        <v>92</v>
      </c>
      <c r="E67" s="187">
        <f>E69</f>
        <v>973</v>
      </c>
      <c r="F67" s="188"/>
      <c r="G67" s="161">
        <f>ROUND(E67*F67,2)</f>
        <v>0</v>
      </c>
      <c r="H67" s="188">
        <v>0</v>
      </c>
      <c r="I67" s="161">
        <f>ROUND(E67*H67,2)</f>
        <v>0</v>
      </c>
      <c r="J67" s="188">
        <v>13.3</v>
      </c>
      <c r="K67" s="161">
        <f>ROUND(E67*J67,2)</f>
        <v>12940.9</v>
      </c>
      <c r="L67" s="161">
        <v>21</v>
      </c>
      <c r="M67" s="161">
        <f>G67*(1+L67/100)</f>
        <v>0</v>
      </c>
      <c r="N67" s="161">
        <v>0</v>
      </c>
      <c r="O67" s="161">
        <f>ROUND(E67*N67,2)</f>
        <v>0</v>
      </c>
      <c r="P67" s="161">
        <v>0</v>
      </c>
      <c r="Q67" s="161">
        <f>ROUND(E67*P67,2)</f>
        <v>0</v>
      </c>
      <c r="R67" s="161" t="s">
        <v>103</v>
      </c>
      <c r="S67" s="161" t="s">
        <v>161</v>
      </c>
      <c r="T67" s="161" t="s">
        <v>161</v>
      </c>
      <c r="U67" s="138"/>
      <c r="V67" s="138"/>
      <c r="W67" s="138"/>
      <c r="X67" s="138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</row>
    <row r="68" spans="1:60" outlineLevel="1" x14ac:dyDescent="0.2">
      <c r="A68" s="183"/>
      <c r="B68" s="165"/>
      <c r="C68" s="198" t="s">
        <v>205</v>
      </c>
      <c r="D68" s="192"/>
      <c r="E68" s="193"/>
      <c r="F68" s="191"/>
      <c r="G68" s="138"/>
      <c r="H68" s="190"/>
      <c r="I68" s="138"/>
      <c r="J68" s="190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</row>
    <row r="69" spans="1:60" outlineLevel="1" x14ac:dyDescent="0.2">
      <c r="A69" s="183"/>
      <c r="B69" s="165"/>
      <c r="C69" s="211" t="s">
        <v>172</v>
      </c>
      <c r="D69" s="212"/>
      <c r="E69" s="213">
        <f>600+110+8+190+65</f>
        <v>973</v>
      </c>
      <c r="F69" s="210"/>
      <c r="G69" s="210"/>
      <c r="H69" s="190"/>
      <c r="I69" s="138"/>
      <c r="J69" s="190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</row>
    <row r="70" spans="1:60" ht="13.15" customHeight="1" outlineLevel="1" x14ac:dyDescent="0.2">
      <c r="A70" s="183"/>
      <c r="B70" s="165"/>
      <c r="C70" s="195"/>
      <c r="D70" s="196"/>
      <c r="E70" s="196"/>
      <c r="F70" s="196"/>
      <c r="G70" s="196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</row>
    <row r="71" spans="1:60" ht="22.5" outlineLevel="1" x14ac:dyDescent="0.2">
      <c r="A71" s="184">
        <f>A67+1</f>
        <v>18</v>
      </c>
      <c r="B71" s="185" t="s">
        <v>206</v>
      </c>
      <c r="C71" s="189" t="s">
        <v>207</v>
      </c>
      <c r="D71" s="186" t="s">
        <v>104</v>
      </c>
      <c r="E71" s="187">
        <f>E41</f>
        <v>144.65</v>
      </c>
      <c r="F71" s="188"/>
      <c r="G71" s="161">
        <f>ROUND(E71*F71,2)</f>
        <v>0</v>
      </c>
      <c r="H71" s="188">
        <v>0</v>
      </c>
      <c r="I71" s="161">
        <f>ROUND(E71*H71,2)</f>
        <v>0</v>
      </c>
      <c r="J71" s="188">
        <v>282.5</v>
      </c>
      <c r="K71" s="161">
        <f>ROUND(E71*J71,2)</f>
        <v>40863.629999999997</v>
      </c>
      <c r="L71" s="161">
        <v>21</v>
      </c>
      <c r="M71" s="161">
        <f>G71*(1+L71/100)</f>
        <v>0</v>
      </c>
      <c r="N71" s="161">
        <v>0</v>
      </c>
      <c r="O71" s="161">
        <f>ROUND(E71*N71,2)</f>
        <v>0</v>
      </c>
      <c r="P71" s="161">
        <v>0</v>
      </c>
      <c r="Q71" s="161">
        <f>ROUND(E71*P71,2)</f>
        <v>0</v>
      </c>
      <c r="R71" s="161" t="s">
        <v>103</v>
      </c>
      <c r="S71" s="161" t="s">
        <v>161</v>
      </c>
      <c r="T71" s="161" t="s">
        <v>161</v>
      </c>
      <c r="U71" s="138"/>
      <c r="V71" s="138"/>
      <c r="W71" s="138"/>
      <c r="X71" s="138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</row>
    <row r="72" spans="1:60" x14ac:dyDescent="0.2">
      <c r="A72" s="183"/>
      <c r="B72" s="165"/>
      <c r="C72" s="325"/>
      <c r="D72" s="326"/>
      <c r="E72" s="326"/>
      <c r="F72" s="326"/>
      <c r="G72" s="326"/>
      <c r="H72" s="138"/>
      <c r="I72" s="138"/>
      <c r="J72" s="138"/>
      <c r="K72" s="138"/>
      <c r="L72" s="138"/>
      <c r="M72" s="138"/>
      <c r="N72" s="138"/>
      <c r="O72" s="138"/>
      <c r="P72" s="138"/>
      <c r="Q72" s="138"/>
      <c r="R72" s="138"/>
      <c r="S72" s="138"/>
      <c r="T72" s="138"/>
      <c r="U72" s="139"/>
      <c r="V72" s="139">
        <f>SUM(V73:V74)</f>
        <v>0</v>
      </c>
      <c r="W72" s="139"/>
      <c r="X72" s="139"/>
      <c r="Z72" s="81"/>
      <c r="AG72" t="s">
        <v>89</v>
      </c>
    </row>
    <row r="73" spans="1:60" outlineLevel="1" x14ac:dyDescent="0.2">
      <c r="A73" s="140" t="s">
        <v>88</v>
      </c>
      <c r="B73" s="141" t="s">
        <v>53</v>
      </c>
      <c r="C73" s="147" t="s">
        <v>54</v>
      </c>
      <c r="D73" s="142"/>
      <c r="E73" s="143"/>
      <c r="F73" s="144"/>
      <c r="G73" s="144">
        <f>SUMIF(AG74:AG117,"&lt;&gt;NOR",G74:G117)</f>
        <v>0</v>
      </c>
      <c r="H73" s="144"/>
      <c r="I73" s="144">
        <f>SUM(I74:I91)</f>
        <v>417488.44999999995</v>
      </c>
      <c r="J73" s="144"/>
      <c r="K73" s="144">
        <f>SUM(K74:K91)</f>
        <v>65932.55</v>
      </c>
      <c r="L73" s="144"/>
      <c r="M73" s="144">
        <f>SUMIF(AM74:AM117,"&lt;&gt;NOR",M74:M117)</f>
        <v>0</v>
      </c>
      <c r="N73" s="144"/>
      <c r="O73" s="144">
        <f>SUM(O74:O91)</f>
        <v>956.70999999999992</v>
      </c>
      <c r="P73" s="144"/>
      <c r="Q73" s="144">
        <f>SUM(Q74:Q91)</f>
        <v>0</v>
      </c>
      <c r="R73" s="144"/>
      <c r="S73" s="144"/>
      <c r="T73" s="145"/>
      <c r="U73" s="138"/>
      <c r="V73" s="138"/>
      <c r="W73" s="138"/>
      <c r="X73" s="138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</row>
    <row r="74" spans="1:60" ht="22.5" outlineLevel="1" x14ac:dyDescent="0.2">
      <c r="A74" s="184">
        <f>A71+1</f>
        <v>19</v>
      </c>
      <c r="B74" s="185" t="s">
        <v>211</v>
      </c>
      <c r="C74" s="189" t="s">
        <v>325</v>
      </c>
      <c r="D74" s="186" t="s">
        <v>92</v>
      </c>
      <c r="E74" s="187">
        <f>E75</f>
        <v>190</v>
      </c>
      <c r="F74" s="188"/>
      <c r="G74" s="161">
        <f>ROUND(E74*F74,2)</f>
        <v>0</v>
      </c>
      <c r="H74" s="188">
        <v>164.95</v>
      </c>
      <c r="I74" s="161">
        <f>ROUND(E74*H74,2)</f>
        <v>31340.5</v>
      </c>
      <c r="J74" s="188">
        <v>26.05</v>
      </c>
      <c r="K74" s="161">
        <f>ROUND(E74*J74,2)</f>
        <v>4949.5</v>
      </c>
      <c r="L74" s="161">
        <v>21</v>
      </c>
      <c r="M74" s="161">
        <f>G74*(1+L74/100)</f>
        <v>0</v>
      </c>
      <c r="N74" s="161">
        <v>0.378</v>
      </c>
      <c r="O74" s="161">
        <f>ROUND(E74*N74,2)</f>
        <v>71.819999999999993</v>
      </c>
      <c r="P74" s="161">
        <v>0</v>
      </c>
      <c r="Q74" s="161">
        <f>ROUND(E74*P74,2)</f>
        <v>0</v>
      </c>
      <c r="R74" s="161" t="s">
        <v>98</v>
      </c>
      <c r="S74" s="161" t="s">
        <v>161</v>
      </c>
      <c r="T74" s="161" t="s">
        <v>161</v>
      </c>
      <c r="U74" s="138"/>
      <c r="V74" s="138"/>
      <c r="W74" s="138"/>
      <c r="X74" s="138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</row>
    <row r="75" spans="1:60" outlineLevel="1" x14ac:dyDescent="0.2">
      <c r="A75" s="183"/>
      <c r="B75" s="165"/>
      <c r="C75" s="211" t="s">
        <v>240</v>
      </c>
      <c r="D75" s="212"/>
      <c r="E75" s="213">
        <v>190</v>
      </c>
      <c r="F75" s="210"/>
      <c r="G75" s="210"/>
      <c r="H75" s="190"/>
      <c r="I75" s="138"/>
      <c r="J75" s="190"/>
      <c r="K75" s="138"/>
      <c r="L75" s="138"/>
      <c r="M75" s="138"/>
      <c r="N75" s="138"/>
      <c r="O75" s="138"/>
      <c r="P75" s="138"/>
      <c r="Q75" s="138"/>
      <c r="R75" s="138"/>
      <c r="S75" s="138"/>
      <c r="T75" s="138"/>
      <c r="U75" s="138"/>
      <c r="V75" s="138"/>
      <c r="W75" s="138"/>
      <c r="X75" s="138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</row>
    <row r="76" spans="1:60" outlineLevel="1" x14ac:dyDescent="0.2">
      <c r="A76" s="183"/>
      <c r="B76" s="165"/>
      <c r="C76" s="195"/>
      <c r="D76" s="196"/>
      <c r="E76" s="196"/>
      <c r="F76" s="196"/>
      <c r="G76" s="196"/>
      <c r="H76" s="138"/>
      <c r="I76" s="138"/>
      <c r="J76" s="138"/>
      <c r="K76" s="138"/>
      <c r="L76" s="138"/>
      <c r="M76" s="138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</row>
    <row r="77" spans="1:60" ht="22.5" outlineLevel="1" x14ac:dyDescent="0.2">
      <c r="A77" s="184">
        <f>A74+1</f>
        <v>20</v>
      </c>
      <c r="B77" s="185" t="s">
        <v>210</v>
      </c>
      <c r="C77" s="189" t="s">
        <v>324</v>
      </c>
      <c r="D77" s="186" t="s">
        <v>92</v>
      </c>
      <c r="E77" s="187">
        <f>E78</f>
        <v>190</v>
      </c>
      <c r="F77" s="188"/>
      <c r="G77" s="161">
        <f>ROUND(E77*F77,2)</f>
        <v>0</v>
      </c>
      <c r="H77" s="188">
        <v>164.95</v>
      </c>
      <c r="I77" s="161">
        <f>ROUND(E77*H77,2)</f>
        <v>31340.5</v>
      </c>
      <c r="J77" s="188">
        <v>26.05</v>
      </c>
      <c r="K77" s="161">
        <f>ROUND(E77*J77,2)</f>
        <v>4949.5</v>
      </c>
      <c r="L77" s="161">
        <v>21</v>
      </c>
      <c r="M77" s="161">
        <f>G77*(1+L77/100)</f>
        <v>0</v>
      </c>
      <c r="N77" s="161">
        <v>0.378</v>
      </c>
      <c r="O77" s="161">
        <f>ROUND(E77*N77,2)</f>
        <v>71.819999999999993</v>
      </c>
      <c r="P77" s="161">
        <v>0</v>
      </c>
      <c r="Q77" s="161">
        <f>ROUND(E77*P77,2)</f>
        <v>0</v>
      </c>
      <c r="R77" s="161" t="s">
        <v>98</v>
      </c>
      <c r="S77" s="161" t="s">
        <v>161</v>
      </c>
      <c r="T77" s="161" t="s">
        <v>161</v>
      </c>
      <c r="U77" s="138"/>
      <c r="V77" s="138"/>
      <c r="W77" s="138"/>
      <c r="X77" s="138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</row>
    <row r="78" spans="1:60" outlineLevel="1" x14ac:dyDescent="0.2">
      <c r="A78" s="183"/>
      <c r="B78" s="165"/>
      <c r="C78" s="211" t="s">
        <v>240</v>
      </c>
      <c r="D78" s="212"/>
      <c r="E78" s="213">
        <v>190</v>
      </c>
      <c r="F78" s="210"/>
      <c r="G78" s="210"/>
      <c r="H78" s="138"/>
      <c r="I78" s="138"/>
      <c r="J78" s="138"/>
      <c r="K78" s="138"/>
      <c r="L78" s="138"/>
      <c r="M78" s="138"/>
      <c r="N78" s="138"/>
      <c r="O78" s="138"/>
      <c r="P78" s="138"/>
      <c r="Q78" s="138"/>
      <c r="R78" s="138"/>
      <c r="S78" s="138"/>
      <c r="T78" s="138"/>
      <c r="U78" s="138"/>
      <c r="V78" s="138"/>
      <c r="W78" s="138"/>
      <c r="X78" s="138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</row>
    <row r="79" spans="1:60" outlineLevel="1" x14ac:dyDescent="0.2">
      <c r="A79" s="183"/>
      <c r="B79" s="165"/>
      <c r="C79" s="195"/>
      <c r="D79" s="196"/>
      <c r="E79" s="196"/>
      <c r="F79" s="196"/>
      <c r="G79" s="196"/>
      <c r="H79" s="138"/>
      <c r="I79" s="138"/>
      <c r="J79" s="138"/>
      <c r="K79" s="138"/>
      <c r="L79" s="138"/>
      <c r="M79" s="138"/>
      <c r="N79" s="138"/>
      <c r="O79" s="138"/>
      <c r="P79" s="138"/>
      <c r="Q79" s="138"/>
      <c r="R79" s="138"/>
      <c r="S79" s="138"/>
      <c r="T79" s="138"/>
      <c r="U79" s="138"/>
      <c r="V79" s="138"/>
      <c r="W79" s="138"/>
      <c r="X79" s="138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</row>
    <row r="80" spans="1:60" ht="22.5" outlineLevel="1" x14ac:dyDescent="0.2">
      <c r="A80" s="184">
        <f>A77+1</f>
        <v>21</v>
      </c>
      <c r="B80" s="185" t="s">
        <v>208</v>
      </c>
      <c r="C80" s="189" t="s">
        <v>209</v>
      </c>
      <c r="D80" s="186" t="s">
        <v>92</v>
      </c>
      <c r="E80" s="187">
        <f>E81</f>
        <v>373</v>
      </c>
      <c r="F80" s="188"/>
      <c r="G80" s="161">
        <f>ROUND(E80*F80,2)</f>
        <v>0</v>
      </c>
      <c r="H80" s="188">
        <v>164.95</v>
      </c>
      <c r="I80" s="161">
        <f>ROUND(E80*H80,2)</f>
        <v>61526.35</v>
      </c>
      <c r="J80" s="188">
        <v>26.05</v>
      </c>
      <c r="K80" s="161">
        <f>ROUND(E80*J80,2)</f>
        <v>9716.65</v>
      </c>
      <c r="L80" s="161">
        <v>21</v>
      </c>
      <c r="M80" s="161">
        <f>G80*(1+L80/100)</f>
        <v>0</v>
      </c>
      <c r="N80" s="161">
        <v>0.378</v>
      </c>
      <c r="O80" s="161">
        <f>ROUND(E80*N80,2)</f>
        <v>140.99</v>
      </c>
      <c r="P80" s="161">
        <v>0</v>
      </c>
      <c r="Q80" s="161">
        <f>ROUND(E80*P80,2)</f>
        <v>0</v>
      </c>
      <c r="R80" s="161" t="s">
        <v>98</v>
      </c>
      <c r="S80" s="161" t="s">
        <v>161</v>
      </c>
      <c r="T80" s="161" t="s">
        <v>161</v>
      </c>
      <c r="U80" s="138"/>
      <c r="V80" s="138"/>
      <c r="W80" s="138"/>
      <c r="X80" s="138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</row>
    <row r="81" spans="1:60" outlineLevel="1" x14ac:dyDescent="0.2">
      <c r="A81" s="183"/>
      <c r="B81" s="165"/>
      <c r="C81" s="211" t="s">
        <v>241</v>
      </c>
      <c r="D81" s="212"/>
      <c r="E81" s="213">
        <f>110+65+8+190</f>
        <v>373</v>
      </c>
      <c r="F81" s="210"/>
      <c r="G81" s="210"/>
      <c r="H81" s="138"/>
      <c r="I81" s="138"/>
      <c r="J81" s="138"/>
      <c r="K81" s="138"/>
      <c r="L81" s="138"/>
      <c r="M81" s="138"/>
      <c r="N81" s="138"/>
      <c r="O81" s="138"/>
      <c r="P81" s="138"/>
      <c r="Q81" s="138"/>
      <c r="R81" s="138"/>
      <c r="S81" s="138"/>
      <c r="T81" s="138"/>
      <c r="U81" s="138"/>
      <c r="V81" s="138"/>
      <c r="W81" s="138"/>
      <c r="X81" s="138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</row>
    <row r="82" spans="1:60" outlineLevel="1" x14ac:dyDescent="0.2">
      <c r="A82" s="183"/>
      <c r="B82" s="165"/>
      <c r="C82" s="195"/>
      <c r="D82" s="196"/>
      <c r="E82" s="196"/>
      <c r="F82" s="196"/>
      <c r="G82" s="196"/>
      <c r="H82" s="138"/>
      <c r="I82" s="138"/>
      <c r="J82" s="138"/>
      <c r="K82" s="138"/>
      <c r="L82" s="138"/>
      <c r="M82" s="138"/>
      <c r="N82" s="138"/>
      <c r="O82" s="138"/>
      <c r="P82" s="138"/>
      <c r="Q82" s="138"/>
      <c r="R82" s="138"/>
      <c r="S82" s="138"/>
      <c r="T82" s="138"/>
      <c r="U82" s="138"/>
      <c r="V82" s="138"/>
      <c r="W82" s="138"/>
      <c r="X82" s="138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</row>
    <row r="83" spans="1:60" ht="22.5" outlineLevel="1" x14ac:dyDescent="0.2">
      <c r="A83" s="184">
        <f>A80+1</f>
        <v>22</v>
      </c>
      <c r="B83" s="185" t="s">
        <v>212</v>
      </c>
      <c r="C83" s="189" t="s">
        <v>132</v>
      </c>
      <c r="D83" s="186" t="s">
        <v>92</v>
      </c>
      <c r="E83" s="187">
        <f>E84</f>
        <v>1200</v>
      </c>
      <c r="F83" s="188"/>
      <c r="G83" s="161">
        <f>ROUND(E83*F83,2)</f>
        <v>0</v>
      </c>
      <c r="H83" s="188">
        <v>164.95</v>
      </c>
      <c r="I83" s="161">
        <f>ROUND(E83*H83,2)</f>
        <v>197940</v>
      </c>
      <c r="J83" s="188">
        <v>26.05</v>
      </c>
      <c r="K83" s="161">
        <f>ROUND(E83*J83,2)</f>
        <v>31260</v>
      </c>
      <c r="L83" s="161">
        <v>21</v>
      </c>
      <c r="M83" s="161">
        <f>G83*(1+L83/100)</f>
        <v>0</v>
      </c>
      <c r="N83" s="161">
        <v>0.378</v>
      </c>
      <c r="O83" s="161">
        <f>ROUND(E83*N83,2)</f>
        <v>453.6</v>
      </c>
      <c r="P83" s="161">
        <v>0</v>
      </c>
      <c r="Q83" s="161">
        <f>ROUND(E83*P83,2)</f>
        <v>0</v>
      </c>
      <c r="R83" s="161" t="s">
        <v>98</v>
      </c>
      <c r="S83" s="161" t="s">
        <v>161</v>
      </c>
      <c r="T83" s="161" t="s">
        <v>161</v>
      </c>
      <c r="U83" s="138"/>
      <c r="V83" s="138"/>
      <c r="W83" s="138"/>
      <c r="X83" s="138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</row>
    <row r="84" spans="1:60" outlineLevel="1" x14ac:dyDescent="0.2">
      <c r="A84" s="183"/>
      <c r="B84" s="165"/>
      <c r="C84" s="211" t="s">
        <v>242</v>
      </c>
      <c r="D84" s="212"/>
      <c r="E84" s="213">
        <f>600*2</f>
        <v>1200</v>
      </c>
      <c r="F84" s="210"/>
      <c r="G84" s="210"/>
      <c r="H84" s="138"/>
      <c r="I84" s="138"/>
      <c r="J84" s="138"/>
      <c r="K84" s="138"/>
      <c r="L84" s="138"/>
      <c r="M84" s="138"/>
      <c r="N84" s="138"/>
      <c r="O84" s="138"/>
      <c r="P84" s="138"/>
      <c r="Q84" s="138"/>
      <c r="R84" s="138"/>
      <c r="S84" s="138"/>
      <c r="T84" s="138"/>
      <c r="U84" s="138"/>
      <c r="V84" s="138"/>
      <c r="W84" s="138"/>
      <c r="X84" s="138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</row>
    <row r="85" spans="1:60" outlineLevel="1" x14ac:dyDescent="0.2">
      <c r="A85" s="183"/>
      <c r="B85" s="165"/>
      <c r="C85" s="195"/>
      <c r="D85" s="196"/>
      <c r="E85" s="196"/>
      <c r="F85" s="196"/>
      <c r="G85" s="196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38"/>
      <c r="U85" s="138"/>
      <c r="V85" s="138"/>
      <c r="W85" s="138"/>
      <c r="X85" s="138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</row>
    <row r="86" spans="1:60" ht="22.5" outlineLevel="1" x14ac:dyDescent="0.2">
      <c r="A86" s="184">
        <f>A83+1</f>
        <v>23</v>
      </c>
      <c r="B86" s="185" t="s">
        <v>228</v>
      </c>
      <c r="C86" s="189" t="s">
        <v>227</v>
      </c>
      <c r="D86" s="186" t="s">
        <v>92</v>
      </c>
      <c r="E86" s="187">
        <f>E87</f>
        <v>395</v>
      </c>
      <c r="F86" s="188"/>
      <c r="G86" s="161">
        <f>ROUND(E86*F86,2)</f>
        <v>0</v>
      </c>
      <c r="H86" s="188">
        <v>164.95</v>
      </c>
      <c r="I86" s="161">
        <f>ROUND(E86*H86,2)</f>
        <v>65155.25</v>
      </c>
      <c r="J86" s="188">
        <v>26.05</v>
      </c>
      <c r="K86" s="161">
        <f>ROUND(E86*J86,2)</f>
        <v>10289.75</v>
      </c>
      <c r="L86" s="161">
        <v>21</v>
      </c>
      <c r="M86" s="161">
        <f>G86*(1+L86/100)</f>
        <v>0</v>
      </c>
      <c r="N86" s="161">
        <v>0.378</v>
      </c>
      <c r="O86" s="161">
        <f>ROUND(E86*N86,2)</f>
        <v>149.31</v>
      </c>
      <c r="P86" s="161">
        <v>0</v>
      </c>
      <c r="Q86" s="161">
        <f>ROUND(E86*P86,2)</f>
        <v>0</v>
      </c>
      <c r="R86" s="161" t="s">
        <v>98</v>
      </c>
      <c r="S86" s="161" t="s">
        <v>161</v>
      </c>
      <c r="T86" s="161" t="s">
        <v>161</v>
      </c>
      <c r="U86" s="138"/>
      <c r="V86" s="138"/>
      <c r="W86" s="138"/>
      <c r="X86" s="138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</row>
    <row r="87" spans="1:60" outlineLevel="1" x14ac:dyDescent="0.2">
      <c r="A87" s="183"/>
      <c r="B87" s="165"/>
      <c r="C87" s="211" t="s">
        <v>178</v>
      </c>
      <c r="D87" s="212"/>
      <c r="E87" s="213">
        <f>(600+190)*0.5</f>
        <v>395</v>
      </c>
      <c r="F87" s="210"/>
      <c r="G87" s="210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38"/>
      <c r="U87" s="138"/>
      <c r="V87" s="138"/>
      <c r="W87" s="138"/>
      <c r="X87" s="138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</row>
    <row r="88" spans="1:60" outlineLevel="1" x14ac:dyDescent="0.2">
      <c r="A88" s="183"/>
      <c r="B88" s="165"/>
      <c r="C88" s="195"/>
      <c r="D88" s="196"/>
      <c r="E88" s="196"/>
      <c r="F88" s="196"/>
      <c r="G88" s="196"/>
      <c r="H88" s="138"/>
      <c r="I88" s="138"/>
      <c r="J88" s="138"/>
      <c r="K88" s="138"/>
      <c r="L88" s="138"/>
      <c r="M88" s="138"/>
      <c r="N88" s="138"/>
      <c r="O88" s="138"/>
      <c r="P88" s="138"/>
      <c r="Q88" s="138"/>
      <c r="R88" s="138"/>
      <c r="S88" s="138"/>
      <c r="T88" s="138"/>
      <c r="U88" s="138"/>
      <c r="V88" s="138"/>
      <c r="W88" s="138"/>
      <c r="X88" s="138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</row>
    <row r="89" spans="1:60" ht="22.5" outlineLevel="1" x14ac:dyDescent="0.2">
      <c r="A89" s="184">
        <f>A86+1</f>
        <v>24</v>
      </c>
      <c r="B89" s="185" t="s">
        <v>213</v>
      </c>
      <c r="C89" s="189" t="s">
        <v>214</v>
      </c>
      <c r="D89" s="186" t="s">
        <v>92</v>
      </c>
      <c r="E89" s="187">
        <f>E90</f>
        <v>183</v>
      </c>
      <c r="F89" s="188"/>
      <c r="G89" s="161">
        <f>ROUND(E89*F89,2)</f>
        <v>0</v>
      </c>
      <c r="H89" s="188">
        <v>164.95</v>
      </c>
      <c r="I89" s="161">
        <f>ROUND(E89*H89,2)</f>
        <v>30185.85</v>
      </c>
      <c r="J89" s="188">
        <v>26.05</v>
      </c>
      <c r="K89" s="161">
        <f>ROUND(E89*J89,2)</f>
        <v>4767.1499999999996</v>
      </c>
      <c r="L89" s="161">
        <v>21</v>
      </c>
      <c r="M89" s="161">
        <f>G89*(1+L89/100)</f>
        <v>0</v>
      </c>
      <c r="N89" s="161">
        <v>0.378</v>
      </c>
      <c r="O89" s="161">
        <f>ROUND(E89*N89,2)</f>
        <v>69.17</v>
      </c>
      <c r="P89" s="161">
        <v>0</v>
      </c>
      <c r="Q89" s="161">
        <f>ROUND(E89*P89,2)</f>
        <v>0</v>
      </c>
      <c r="R89" s="161" t="s">
        <v>98</v>
      </c>
      <c r="S89" s="161" t="s">
        <v>161</v>
      </c>
      <c r="T89" s="161" t="s">
        <v>161</v>
      </c>
      <c r="U89" s="138"/>
      <c r="V89" s="138"/>
      <c r="W89" s="138"/>
      <c r="X89" s="138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</row>
    <row r="90" spans="1:60" outlineLevel="1" x14ac:dyDescent="0.2">
      <c r="A90" s="183"/>
      <c r="B90" s="165"/>
      <c r="C90" s="211" t="s">
        <v>239</v>
      </c>
      <c r="D90" s="212"/>
      <c r="E90" s="213">
        <f>110+65+8</f>
        <v>183</v>
      </c>
      <c r="F90" s="210"/>
      <c r="G90" s="210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38"/>
      <c r="U90" s="138"/>
      <c r="V90" s="138"/>
      <c r="W90" s="138"/>
      <c r="X90" s="138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</row>
    <row r="91" spans="1:60" outlineLevel="1" x14ac:dyDescent="0.2">
      <c r="A91" s="183"/>
      <c r="B91" s="165"/>
      <c r="C91" s="195"/>
      <c r="D91" s="196"/>
      <c r="E91" s="196"/>
      <c r="F91" s="196"/>
      <c r="G91" s="196"/>
      <c r="H91" s="138"/>
      <c r="I91" s="138"/>
      <c r="J91" s="138"/>
      <c r="K91" s="138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38"/>
      <c r="W91" s="138"/>
      <c r="X91" s="138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</row>
    <row r="92" spans="1:60" outlineLevel="1" x14ac:dyDescent="0.2">
      <c r="A92" s="184">
        <f>A89+1</f>
        <v>25</v>
      </c>
      <c r="B92" s="185" t="s">
        <v>216</v>
      </c>
      <c r="C92" s="189" t="s">
        <v>215</v>
      </c>
      <c r="D92" s="186" t="s">
        <v>92</v>
      </c>
      <c r="E92" s="187">
        <f>E94</f>
        <v>113</v>
      </c>
      <c r="F92" s="188"/>
      <c r="G92" s="161">
        <f>ROUND(E92*F92,2)</f>
        <v>0</v>
      </c>
      <c r="H92" s="188">
        <v>51.16</v>
      </c>
      <c r="I92" s="161">
        <f>ROUND(E92*H92,2)</f>
        <v>5781.08</v>
      </c>
      <c r="J92" s="188">
        <v>238.34</v>
      </c>
      <c r="K92" s="161">
        <f>ROUND(E92*J92,2)</f>
        <v>26932.42</v>
      </c>
      <c r="L92" s="161">
        <v>21</v>
      </c>
      <c r="M92" s="161">
        <f>G92*(1+L92/100)</f>
        <v>0</v>
      </c>
      <c r="N92" s="161">
        <v>9.2799999999999994E-2</v>
      </c>
      <c r="O92" s="161">
        <f>ROUND(E92*N92,2)</f>
        <v>10.49</v>
      </c>
      <c r="P92" s="161">
        <v>0</v>
      </c>
      <c r="Q92" s="161">
        <f>ROUND(E92*P92,2)</f>
        <v>0</v>
      </c>
      <c r="R92" s="161" t="s">
        <v>98</v>
      </c>
      <c r="S92" s="161" t="s">
        <v>161</v>
      </c>
      <c r="T92" s="161" t="s">
        <v>161</v>
      </c>
      <c r="U92" s="138"/>
      <c r="V92" s="138"/>
      <c r="W92" s="138"/>
      <c r="X92" s="138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</row>
    <row r="93" spans="1:60" ht="24.75" customHeight="1" outlineLevel="1" x14ac:dyDescent="0.2">
      <c r="A93" s="183"/>
      <c r="B93" s="165"/>
      <c r="C93" s="309" t="s">
        <v>236</v>
      </c>
      <c r="D93" s="310"/>
      <c r="E93" s="310"/>
      <c r="F93" s="310"/>
      <c r="G93" s="310"/>
      <c r="H93" s="138"/>
      <c r="I93" s="138"/>
      <c r="J93" s="138"/>
      <c r="K93" s="138"/>
      <c r="L93" s="138"/>
      <c r="M93" s="138"/>
      <c r="N93" s="138"/>
      <c r="O93" s="138"/>
      <c r="P93" s="138"/>
      <c r="Q93" s="138"/>
      <c r="R93" s="138"/>
      <c r="S93" s="138"/>
      <c r="T93" s="138"/>
      <c r="U93" s="138"/>
      <c r="V93" s="138"/>
      <c r="W93" s="138"/>
      <c r="X93" s="138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</row>
    <row r="94" spans="1:60" ht="12.75" customHeight="1" outlineLevel="1" x14ac:dyDescent="0.2">
      <c r="A94" s="183"/>
      <c r="B94" s="165"/>
      <c r="C94" s="211" t="s">
        <v>237</v>
      </c>
      <c r="D94" s="212"/>
      <c r="E94" s="213">
        <v>113</v>
      </c>
      <c r="F94" s="210"/>
      <c r="G94" s="210"/>
      <c r="H94" s="138"/>
      <c r="I94" s="138"/>
      <c r="J94" s="138"/>
      <c r="K94" s="138"/>
      <c r="L94" s="138"/>
      <c r="M94" s="138"/>
      <c r="N94" s="138"/>
      <c r="O94" s="138"/>
      <c r="P94" s="138"/>
      <c r="Q94" s="138"/>
      <c r="R94" s="138"/>
      <c r="S94" s="138"/>
      <c r="T94" s="138"/>
      <c r="U94" s="138"/>
      <c r="V94" s="138"/>
      <c r="W94" s="138"/>
      <c r="X94" s="138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</row>
    <row r="95" spans="1:60" outlineLevel="1" x14ac:dyDescent="0.2">
      <c r="A95" s="183"/>
      <c r="B95" s="165"/>
      <c r="C95" s="195"/>
      <c r="D95" s="196"/>
      <c r="E95" s="196"/>
      <c r="F95" s="196"/>
      <c r="G95" s="196"/>
      <c r="H95" s="138"/>
      <c r="I95" s="138"/>
      <c r="J95" s="138"/>
      <c r="K95" s="138"/>
      <c r="L95" s="138"/>
      <c r="M95" s="138"/>
      <c r="N95" s="138"/>
      <c r="O95" s="138"/>
      <c r="P95" s="138"/>
      <c r="Q95" s="138"/>
      <c r="R95" s="138"/>
      <c r="S95" s="138"/>
      <c r="T95" s="138"/>
      <c r="U95" s="138"/>
      <c r="V95" s="138"/>
      <c r="W95" s="138"/>
      <c r="X95" s="138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</row>
    <row r="96" spans="1:60" outlineLevel="1" x14ac:dyDescent="0.2">
      <c r="A96" s="184">
        <f>A92+1</f>
        <v>26</v>
      </c>
      <c r="B96" s="214" t="s">
        <v>218</v>
      </c>
      <c r="C96" s="215" t="s">
        <v>217</v>
      </c>
      <c r="D96" s="186" t="s">
        <v>92</v>
      </c>
      <c r="E96" s="187">
        <v>113.28</v>
      </c>
      <c r="F96" s="188"/>
      <c r="G96" s="161">
        <f>ROUND(E96*F96,2)</f>
        <v>0</v>
      </c>
      <c r="H96" s="188">
        <v>51.16</v>
      </c>
      <c r="I96" s="161">
        <f>ROUND(E96*H96,2)</f>
        <v>5795.4</v>
      </c>
      <c r="J96" s="188">
        <v>238.34</v>
      </c>
      <c r="K96" s="161">
        <f>ROUND(E96*J96,2)</f>
        <v>26999.16</v>
      </c>
      <c r="L96" s="161">
        <v>21</v>
      </c>
      <c r="M96" s="161">
        <f>G96*(1+L96/100)</f>
        <v>0</v>
      </c>
      <c r="N96" s="161">
        <v>9.2799999999999994E-2</v>
      </c>
      <c r="O96" s="161">
        <f>ROUND(E96*N96,2)</f>
        <v>10.51</v>
      </c>
      <c r="P96" s="161">
        <v>0</v>
      </c>
      <c r="Q96" s="161">
        <f>ROUND(E96*P96,2)</f>
        <v>0</v>
      </c>
      <c r="R96" s="161" t="s">
        <v>98</v>
      </c>
      <c r="S96" s="161" t="s">
        <v>161</v>
      </c>
      <c r="T96" s="161" t="s">
        <v>161</v>
      </c>
      <c r="U96" s="138"/>
      <c r="V96" s="138"/>
      <c r="W96" s="138"/>
      <c r="X96" s="138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</row>
    <row r="97" spans="1:60" outlineLevel="1" x14ac:dyDescent="0.2">
      <c r="A97" s="183"/>
      <c r="B97" s="165"/>
      <c r="C97" s="195"/>
      <c r="D97" s="196"/>
      <c r="E97" s="196"/>
      <c r="F97" s="196"/>
      <c r="G97" s="196"/>
      <c r="H97" s="138"/>
      <c r="I97" s="138"/>
      <c r="J97" s="138"/>
      <c r="K97" s="138"/>
      <c r="L97" s="138"/>
      <c r="M97" s="138"/>
      <c r="N97" s="138"/>
      <c r="O97" s="138"/>
      <c r="P97" s="138"/>
      <c r="Q97" s="138"/>
      <c r="R97" s="138"/>
      <c r="S97" s="138"/>
      <c r="T97" s="138"/>
      <c r="U97" s="138"/>
      <c r="V97" s="138"/>
      <c r="W97" s="138"/>
      <c r="X97" s="138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</row>
    <row r="98" spans="1:60" outlineLevel="1" x14ac:dyDescent="0.2">
      <c r="A98" s="184">
        <f>A96+1</f>
        <v>27</v>
      </c>
      <c r="B98" s="214" t="s">
        <v>219</v>
      </c>
      <c r="C98" s="215" t="s">
        <v>220</v>
      </c>
      <c r="D98" s="186" t="s">
        <v>92</v>
      </c>
      <c r="E98" s="187">
        <v>3.84</v>
      </c>
      <c r="F98" s="188"/>
      <c r="G98" s="161">
        <f>ROUND(E98*F98,2)</f>
        <v>0</v>
      </c>
      <c r="H98" s="188">
        <v>51.16</v>
      </c>
      <c r="I98" s="161">
        <f>ROUND(E98*H98,2)</f>
        <v>196.45</v>
      </c>
      <c r="J98" s="188">
        <v>238.34</v>
      </c>
      <c r="K98" s="161">
        <f>ROUND(E98*J98,2)</f>
        <v>915.23</v>
      </c>
      <c r="L98" s="161">
        <v>21</v>
      </c>
      <c r="M98" s="161">
        <f>G98*(1+L98/100)</f>
        <v>0</v>
      </c>
      <c r="N98" s="161">
        <v>9.2799999999999994E-2</v>
      </c>
      <c r="O98" s="161">
        <f>ROUND(E98*N98,2)</f>
        <v>0.36</v>
      </c>
      <c r="P98" s="161">
        <v>0</v>
      </c>
      <c r="Q98" s="161">
        <f>ROUND(E98*P98,2)</f>
        <v>0</v>
      </c>
      <c r="R98" s="161" t="s">
        <v>98</v>
      </c>
      <c r="S98" s="161" t="s">
        <v>161</v>
      </c>
      <c r="T98" s="161" t="s">
        <v>161</v>
      </c>
      <c r="U98" s="138"/>
      <c r="V98" s="138"/>
      <c r="W98" s="138"/>
      <c r="X98" s="138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</row>
    <row r="99" spans="1:60" outlineLevel="1" x14ac:dyDescent="0.2">
      <c r="A99" s="183"/>
      <c r="B99" s="165"/>
      <c r="C99" s="195"/>
      <c r="D99" s="196"/>
      <c r="E99" s="196"/>
      <c r="F99" s="196"/>
      <c r="G99" s="196"/>
      <c r="H99" s="138"/>
      <c r="I99" s="138"/>
      <c r="J99" s="138"/>
      <c r="K99" s="138"/>
      <c r="L99" s="138"/>
      <c r="M99" s="138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</row>
    <row r="100" spans="1:60" outlineLevel="1" x14ac:dyDescent="0.2">
      <c r="A100" s="184">
        <f>A98+1</f>
        <v>28</v>
      </c>
      <c r="B100" s="185" t="s">
        <v>222</v>
      </c>
      <c r="C100" s="189" t="s">
        <v>221</v>
      </c>
      <c r="D100" s="186" t="s">
        <v>92</v>
      </c>
      <c r="E100" s="187">
        <f>E102</f>
        <v>271</v>
      </c>
      <c r="F100" s="188"/>
      <c r="G100" s="161">
        <f>ROUND(E100*F100,2)</f>
        <v>0</v>
      </c>
      <c r="H100" s="188">
        <v>51.16</v>
      </c>
      <c r="I100" s="161">
        <f>ROUND(E100*H100,2)</f>
        <v>13864.36</v>
      </c>
      <c r="J100" s="188">
        <v>238.34</v>
      </c>
      <c r="K100" s="161">
        <f>ROUND(E100*J100,2)</f>
        <v>64590.14</v>
      </c>
      <c r="L100" s="161">
        <v>21</v>
      </c>
      <c r="M100" s="161">
        <f>G100*(1+L100/100)</f>
        <v>0</v>
      </c>
      <c r="N100" s="161">
        <v>9.2799999999999994E-2</v>
      </c>
      <c r="O100" s="161">
        <f>ROUND(E100*N100,2)</f>
        <v>25.15</v>
      </c>
      <c r="P100" s="161">
        <v>0</v>
      </c>
      <c r="Q100" s="161">
        <f>ROUND(E100*P100,2)</f>
        <v>0</v>
      </c>
      <c r="R100" s="161" t="s">
        <v>98</v>
      </c>
      <c r="S100" s="161" t="s">
        <v>161</v>
      </c>
      <c r="T100" s="161" t="s">
        <v>161</v>
      </c>
      <c r="U100" s="138"/>
      <c r="V100" s="138"/>
      <c r="W100" s="138"/>
      <c r="X100" s="138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</row>
    <row r="101" spans="1:60" ht="24" customHeight="1" outlineLevel="1" x14ac:dyDescent="0.2">
      <c r="A101" s="183"/>
      <c r="B101" s="165"/>
      <c r="C101" s="309" t="s">
        <v>133</v>
      </c>
      <c r="D101" s="310"/>
      <c r="E101" s="310"/>
      <c r="F101" s="310"/>
      <c r="G101" s="310"/>
      <c r="H101" s="138"/>
      <c r="I101" s="138"/>
      <c r="J101" s="138"/>
      <c r="K101" s="138"/>
      <c r="L101" s="138"/>
      <c r="M101" s="138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</row>
    <row r="102" spans="1:60" outlineLevel="1" x14ac:dyDescent="0.2">
      <c r="A102" s="183"/>
      <c r="B102" s="165"/>
      <c r="C102" s="211" t="s">
        <v>238</v>
      </c>
      <c r="D102" s="212"/>
      <c r="E102" s="213">
        <f>190+65+8+8</f>
        <v>271</v>
      </c>
      <c r="F102" s="210"/>
      <c r="G102" s="210"/>
      <c r="H102" s="138"/>
      <c r="I102" s="138"/>
      <c r="J102" s="138"/>
      <c r="K102" s="138"/>
      <c r="L102" s="138"/>
      <c r="M102" s="138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</row>
    <row r="103" spans="1:60" outlineLevel="1" x14ac:dyDescent="0.2">
      <c r="A103" s="183"/>
      <c r="B103" s="165"/>
      <c r="C103" s="195"/>
      <c r="D103" s="196"/>
      <c r="E103" s="196"/>
      <c r="F103" s="196"/>
      <c r="G103" s="196"/>
      <c r="H103" s="138"/>
      <c r="I103" s="138"/>
      <c r="J103" s="138"/>
      <c r="K103" s="138"/>
      <c r="L103" s="138"/>
      <c r="M103" s="138"/>
      <c r="N103" s="138"/>
      <c r="O103" s="138"/>
      <c r="P103" s="138"/>
      <c r="Q103" s="138"/>
      <c r="R103" s="138"/>
      <c r="S103" s="138"/>
      <c r="T103" s="138"/>
      <c r="U103" s="138"/>
      <c r="V103" s="138"/>
      <c r="W103" s="138"/>
      <c r="X103" s="138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</row>
    <row r="104" spans="1:60" ht="12.75" customHeight="1" outlineLevel="1" x14ac:dyDescent="0.2">
      <c r="A104" s="184">
        <f>A100+1</f>
        <v>29</v>
      </c>
      <c r="B104" s="214" t="s">
        <v>223</v>
      </c>
      <c r="C104" s="215" t="s">
        <v>225</v>
      </c>
      <c r="D104" s="186" t="s">
        <v>92</v>
      </c>
      <c r="E104" s="187">
        <v>260.16000000000003</v>
      </c>
      <c r="F104" s="188"/>
      <c r="G104" s="161">
        <f>ROUND(E104*F104,2)</f>
        <v>0</v>
      </c>
      <c r="H104" s="188">
        <v>51.16</v>
      </c>
      <c r="I104" s="161">
        <f>ROUND(E104*H104,2)</f>
        <v>13309.79</v>
      </c>
      <c r="J104" s="188">
        <v>238.34</v>
      </c>
      <c r="K104" s="161">
        <f>ROUND(E104*J104,2)</f>
        <v>62006.53</v>
      </c>
      <c r="L104" s="161">
        <v>21</v>
      </c>
      <c r="M104" s="161">
        <f>G104*(1+L104/100)</f>
        <v>0</v>
      </c>
      <c r="N104" s="161">
        <v>9.2799999999999994E-2</v>
      </c>
      <c r="O104" s="161">
        <f>ROUND(E104*N104,2)</f>
        <v>24.14</v>
      </c>
      <c r="P104" s="161">
        <v>0</v>
      </c>
      <c r="Q104" s="161">
        <f>ROUND(E104*P104,2)</f>
        <v>0</v>
      </c>
      <c r="R104" s="161" t="s">
        <v>98</v>
      </c>
      <c r="S104" s="161" t="s">
        <v>161</v>
      </c>
      <c r="T104" s="161" t="s">
        <v>161</v>
      </c>
      <c r="U104" s="138"/>
      <c r="V104" s="138"/>
      <c r="W104" s="138"/>
      <c r="X104" s="138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</row>
    <row r="105" spans="1:60" outlineLevel="1" x14ac:dyDescent="0.2">
      <c r="A105" s="183"/>
      <c r="B105" s="165"/>
      <c r="C105" s="195"/>
      <c r="D105" s="196"/>
      <c r="E105" s="196"/>
      <c r="F105" s="196"/>
      <c r="G105" s="196"/>
      <c r="H105" s="138"/>
      <c r="I105" s="138"/>
      <c r="J105" s="138"/>
      <c r="K105" s="138"/>
      <c r="L105" s="138"/>
      <c r="M105" s="138"/>
      <c r="N105" s="138"/>
      <c r="O105" s="138"/>
      <c r="P105" s="138"/>
      <c r="Q105" s="138"/>
      <c r="R105" s="138"/>
      <c r="S105" s="138"/>
      <c r="T105" s="138"/>
      <c r="U105" s="138"/>
      <c r="V105" s="138"/>
      <c r="W105" s="138"/>
      <c r="X105" s="138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</row>
    <row r="106" spans="1:60" outlineLevel="1" x14ac:dyDescent="0.2">
      <c r="A106" s="184">
        <f>A104+1</f>
        <v>30</v>
      </c>
      <c r="B106" s="214" t="s">
        <v>224</v>
      </c>
      <c r="C106" s="215" t="s">
        <v>226</v>
      </c>
      <c r="D106" s="186" t="s">
        <v>92</v>
      </c>
      <c r="E106" s="187">
        <v>8.64</v>
      </c>
      <c r="F106" s="188"/>
      <c r="G106" s="161">
        <f>ROUND(E106*F106,2)</f>
        <v>0</v>
      </c>
      <c r="H106" s="188">
        <v>51.16</v>
      </c>
      <c r="I106" s="161">
        <f>ROUND(E106*H106,2)</f>
        <v>442.02</v>
      </c>
      <c r="J106" s="188">
        <v>238.34</v>
      </c>
      <c r="K106" s="161">
        <f>ROUND(E106*J106,2)</f>
        <v>2059.2600000000002</v>
      </c>
      <c r="L106" s="161">
        <v>21</v>
      </c>
      <c r="M106" s="161">
        <f>G106*(1+L106/100)</f>
        <v>0</v>
      </c>
      <c r="N106" s="161">
        <v>9.2799999999999994E-2</v>
      </c>
      <c r="O106" s="161">
        <f>ROUND(E106*N106,2)</f>
        <v>0.8</v>
      </c>
      <c r="P106" s="161">
        <v>0</v>
      </c>
      <c r="Q106" s="161">
        <f>ROUND(E106*P106,2)</f>
        <v>0</v>
      </c>
      <c r="R106" s="161" t="s">
        <v>98</v>
      </c>
      <c r="S106" s="161" t="s">
        <v>161</v>
      </c>
      <c r="T106" s="161" t="s">
        <v>161</v>
      </c>
      <c r="U106" s="138"/>
      <c r="V106" s="138"/>
      <c r="W106" s="138"/>
      <c r="X106" s="138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</row>
    <row r="107" spans="1:60" outlineLevel="1" x14ac:dyDescent="0.2">
      <c r="A107" s="183"/>
      <c r="B107" s="165"/>
      <c r="C107" s="195"/>
      <c r="D107" s="196"/>
      <c r="E107" s="196"/>
      <c r="F107" s="196"/>
      <c r="G107" s="196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</row>
    <row r="108" spans="1:60" ht="22.5" outlineLevel="1" x14ac:dyDescent="0.2">
      <c r="A108" s="184">
        <f>A106+1</f>
        <v>31</v>
      </c>
      <c r="B108" s="185" t="s">
        <v>229</v>
      </c>
      <c r="C108" s="189" t="s">
        <v>231</v>
      </c>
      <c r="D108" s="186" t="s">
        <v>92</v>
      </c>
      <c r="E108" s="187">
        <f>E110</f>
        <v>600</v>
      </c>
      <c r="F108" s="188"/>
      <c r="G108" s="161">
        <f>ROUND(E108*F108,2)</f>
        <v>0</v>
      </c>
      <c r="H108" s="138"/>
      <c r="I108" s="138"/>
      <c r="J108" s="138"/>
      <c r="K108" s="138"/>
      <c r="L108" s="161">
        <v>21</v>
      </c>
      <c r="M108" s="161">
        <f>G108*(1+L108/100)</f>
        <v>0</v>
      </c>
      <c r="N108" s="161">
        <v>0.17599999999999999</v>
      </c>
      <c r="O108" s="161">
        <f>ROUND(E108*N108,2)</f>
        <v>105.6</v>
      </c>
      <c r="P108" s="161">
        <v>0</v>
      </c>
      <c r="Q108" s="161">
        <f>ROUND(E108*P108,2)</f>
        <v>0</v>
      </c>
      <c r="R108" s="161" t="s">
        <v>134</v>
      </c>
      <c r="S108" s="161" t="s">
        <v>161</v>
      </c>
      <c r="T108" s="162" t="s">
        <v>95</v>
      </c>
      <c r="U108" s="138"/>
      <c r="V108" s="138"/>
      <c r="W108" s="138"/>
      <c r="X108" s="138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</row>
    <row r="109" spans="1:60" outlineLevel="1" x14ac:dyDescent="0.2">
      <c r="A109" s="183"/>
      <c r="B109" s="165"/>
      <c r="C109" s="194" t="s">
        <v>230</v>
      </c>
      <c r="D109" s="151"/>
      <c r="E109" s="152"/>
      <c r="F109" s="160"/>
      <c r="G109" s="153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</row>
    <row r="110" spans="1:60" outlineLevel="1" x14ac:dyDescent="0.2">
      <c r="A110" s="183"/>
      <c r="B110" s="165"/>
      <c r="C110" s="211">
        <v>600</v>
      </c>
      <c r="D110" s="212"/>
      <c r="E110" s="213">
        <v>600</v>
      </c>
      <c r="F110" s="210"/>
      <c r="G110" s="210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</row>
    <row r="111" spans="1:60" outlineLevel="1" x14ac:dyDescent="0.2">
      <c r="A111" s="183"/>
      <c r="B111" s="165"/>
      <c r="C111" s="195"/>
      <c r="D111" s="196"/>
      <c r="E111" s="196"/>
      <c r="F111" s="196"/>
      <c r="G111" s="196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</row>
    <row r="112" spans="1:60" ht="22.5" outlineLevel="1" x14ac:dyDescent="0.2">
      <c r="A112" s="184">
        <f>A108+1</f>
        <v>32</v>
      </c>
      <c r="B112" s="185" t="s">
        <v>235</v>
      </c>
      <c r="C112" s="189" t="s">
        <v>234</v>
      </c>
      <c r="D112" s="186" t="s">
        <v>92</v>
      </c>
      <c r="E112" s="187">
        <f>E116</f>
        <v>600</v>
      </c>
      <c r="F112" s="188"/>
      <c r="G112" s="161">
        <f>ROUND(E112*F112,2)</f>
        <v>0</v>
      </c>
      <c r="H112" s="138"/>
      <c r="I112" s="138"/>
      <c r="J112" s="138"/>
      <c r="K112" s="138"/>
      <c r="L112" s="161">
        <v>21</v>
      </c>
      <c r="M112" s="161">
        <f>G112*(1+L112/100)</f>
        <v>0</v>
      </c>
      <c r="N112" s="161">
        <v>0.17599999999999999</v>
      </c>
      <c r="O112" s="161">
        <f>ROUND(E112*N112,2)</f>
        <v>105.6</v>
      </c>
      <c r="P112" s="161">
        <v>0</v>
      </c>
      <c r="Q112" s="161">
        <f>ROUND(E112*P112,2)</f>
        <v>0</v>
      </c>
      <c r="R112" s="161" t="s">
        <v>134</v>
      </c>
      <c r="S112" s="161" t="s">
        <v>161</v>
      </c>
      <c r="T112" s="162" t="s">
        <v>95</v>
      </c>
      <c r="U112" s="138"/>
      <c r="V112" s="138"/>
      <c r="W112" s="138"/>
      <c r="X112" s="138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</row>
    <row r="113" spans="1:60" outlineLevel="1" x14ac:dyDescent="0.2">
      <c r="A113" s="183"/>
      <c r="B113" s="165"/>
      <c r="C113" s="195"/>
      <c r="D113" s="196"/>
      <c r="E113" s="196"/>
      <c r="F113" s="196"/>
      <c r="G113" s="196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</row>
    <row r="114" spans="1:60" ht="22.5" outlineLevel="1" x14ac:dyDescent="0.2">
      <c r="A114" s="184">
        <f>A112+1</f>
        <v>33</v>
      </c>
      <c r="B114" s="185" t="s">
        <v>233</v>
      </c>
      <c r="C114" s="189" t="s">
        <v>232</v>
      </c>
      <c r="D114" s="186" t="s">
        <v>92</v>
      </c>
      <c r="E114" s="187">
        <f>E116</f>
        <v>600</v>
      </c>
      <c r="F114" s="188"/>
      <c r="G114" s="161">
        <f>ROUND(E114*F114,2)</f>
        <v>0</v>
      </c>
      <c r="H114" s="138"/>
      <c r="I114" s="138"/>
      <c r="J114" s="138"/>
      <c r="K114" s="138"/>
      <c r="L114" s="161">
        <v>21</v>
      </c>
      <c r="M114" s="161">
        <f>G114*(1+L114/100)</f>
        <v>0</v>
      </c>
      <c r="N114" s="161">
        <v>0.17599999999999999</v>
      </c>
      <c r="O114" s="161">
        <f>ROUND(E114*N114,2)</f>
        <v>105.6</v>
      </c>
      <c r="P114" s="161">
        <v>0</v>
      </c>
      <c r="Q114" s="161">
        <f>ROUND(E114*P114,2)</f>
        <v>0</v>
      </c>
      <c r="R114" s="161" t="s">
        <v>134</v>
      </c>
      <c r="S114" s="161" t="s">
        <v>161</v>
      </c>
      <c r="T114" s="162" t="s">
        <v>95</v>
      </c>
      <c r="U114" s="138"/>
      <c r="V114" s="138"/>
      <c r="W114" s="138"/>
      <c r="X114" s="138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</row>
    <row r="115" spans="1:60" outlineLevel="1" x14ac:dyDescent="0.2">
      <c r="A115" s="183"/>
      <c r="B115" s="165"/>
      <c r="C115" s="194" t="s">
        <v>230</v>
      </c>
      <c r="D115" s="151"/>
      <c r="E115" s="152"/>
      <c r="F115" s="160"/>
      <c r="G115" s="153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</row>
    <row r="116" spans="1:60" outlineLevel="1" x14ac:dyDescent="0.2">
      <c r="A116" s="183"/>
      <c r="B116" s="165"/>
      <c r="C116" s="211">
        <v>600</v>
      </c>
      <c r="D116" s="212"/>
      <c r="E116" s="213">
        <v>600</v>
      </c>
      <c r="F116" s="210"/>
      <c r="G116" s="210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</row>
    <row r="117" spans="1:60" outlineLevel="1" x14ac:dyDescent="0.2">
      <c r="A117" s="183"/>
      <c r="B117" s="165"/>
      <c r="C117" s="195"/>
      <c r="D117" s="196"/>
      <c r="E117" s="196"/>
      <c r="F117" s="196"/>
      <c r="G117" s="196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</row>
    <row r="118" spans="1:60" outlineLevel="1" x14ac:dyDescent="0.2">
      <c r="A118" s="140" t="s">
        <v>88</v>
      </c>
      <c r="B118" s="141" t="s">
        <v>55</v>
      </c>
      <c r="C118" s="147" t="s">
        <v>56</v>
      </c>
      <c r="D118" s="142"/>
      <c r="E118" s="143"/>
      <c r="F118" s="144"/>
      <c r="G118" s="144">
        <f>SUMIF(AG119:AG195,"&lt;&gt;NOR",G119:G195)</f>
        <v>0</v>
      </c>
      <c r="H118" s="144"/>
      <c r="I118" s="144">
        <f>SUM(I168:I195)</f>
        <v>163663.96000000002</v>
      </c>
      <c r="J118" s="144"/>
      <c r="K118" s="144">
        <f>SUM(K168:K195)</f>
        <v>49249.759999999995</v>
      </c>
      <c r="L118" s="144"/>
      <c r="M118" s="144">
        <f>SUMIF(AM119:AM195,"&lt;&gt;NOR",M119:M195)</f>
        <v>0</v>
      </c>
      <c r="N118" s="144"/>
      <c r="O118" s="144">
        <f>SUM(O168:O195)</f>
        <v>92.74</v>
      </c>
      <c r="P118" s="144"/>
      <c r="Q118" s="144">
        <f>SUM(Q168:Q195)</f>
        <v>0</v>
      </c>
      <c r="R118" s="144"/>
      <c r="S118" s="144"/>
      <c r="T118" s="145"/>
      <c r="U118" s="138"/>
      <c r="V118" s="138"/>
      <c r="W118" s="138"/>
      <c r="X118" s="138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</row>
    <row r="119" spans="1:60" outlineLevel="1" x14ac:dyDescent="0.2">
      <c r="A119" s="184">
        <f>A114+1</f>
        <v>34</v>
      </c>
      <c r="B119" s="185" t="s">
        <v>243</v>
      </c>
      <c r="C119" s="189" t="s">
        <v>244</v>
      </c>
      <c r="D119" s="186" t="s">
        <v>91</v>
      </c>
      <c r="E119" s="187">
        <v>1</v>
      </c>
      <c r="F119" s="188"/>
      <c r="G119" s="161">
        <f>ROUND(E119*F119,2)</f>
        <v>0</v>
      </c>
      <c r="H119" s="188">
        <v>339.99</v>
      </c>
      <c r="I119" s="161">
        <f>ROUND(E119*H119,2)</f>
        <v>339.99</v>
      </c>
      <c r="J119" s="188">
        <v>352.01</v>
      </c>
      <c r="K119" s="161">
        <f>ROUND(E119*J119,2)</f>
        <v>352.01</v>
      </c>
      <c r="L119" s="161">
        <v>21</v>
      </c>
      <c r="M119" s="161">
        <f>G119*(1+L119/100)</f>
        <v>0</v>
      </c>
      <c r="N119" s="161">
        <v>0.25080000000000002</v>
      </c>
      <c r="O119" s="161">
        <f>ROUND(E119*N119,2)</f>
        <v>0.25</v>
      </c>
      <c r="P119" s="161">
        <v>0</v>
      </c>
      <c r="Q119" s="161">
        <f>ROUND(E119*P119,2)</f>
        <v>0</v>
      </c>
      <c r="R119" s="161" t="s">
        <v>98</v>
      </c>
      <c r="S119" s="161" t="s">
        <v>161</v>
      </c>
      <c r="T119" s="161" t="s">
        <v>161</v>
      </c>
      <c r="U119" s="138"/>
      <c r="V119" s="138"/>
      <c r="W119" s="138"/>
      <c r="X119" s="138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</row>
    <row r="120" spans="1:60" outlineLevel="1" x14ac:dyDescent="0.2">
      <c r="A120" s="183"/>
      <c r="B120" s="165"/>
      <c r="C120" s="322"/>
      <c r="D120" s="323"/>
      <c r="E120" s="323"/>
      <c r="F120" s="323"/>
      <c r="G120" s="323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</row>
    <row r="121" spans="1:60" outlineLevel="1" x14ac:dyDescent="0.2">
      <c r="A121" s="184">
        <f>A119+1</f>
        <v>35</v>
      </c>
      <c r="B121" s="185" t="s">
        <v>243</v>
      </c>
      <c r="C121" s="189" t="s">
        <v>245</v>
      </c>
      <c r="D121" s="186" t="s">
        <v>91</v>
      </c>
      <c r="E121" s="187">
        <v>1</v>
      </c>
      <c r="F121" s="188"/>
      <c r="G121" s="161">
        <f>ROUND(E121*F121,2)</f>
        <v>0</v>
      </c>
      <c r="H121" s="188">
        <v>339.99</v>
      </c>
      <c r="I121" s="161">
        <f>ROUND(E121*H121,2)</f>
        <v>339.99</v>
      </c>
      <c r="J121" s="188">
        <v>352.01</v>
      </c>
      <c r="K121" s="161">
        <f>ROUND(E121*J121,2)</f>
        <v>352.01</v>
      </c>
      <c r="L121" s="161">
        <v>21</v>
      </c>
      <c r="M121" s="161">
        <f>G121*(1+L121/100)</f>
        <v>0</v>
      </c>
      <c r="N121" s="161">
        <v>0.25080000000000002</v>
      </c>
      <c r="O121" s="161">
        <f>ROUND(E121*N121,2)</f>
        <v>0.25</v>
      </c>
      <c r="P121" s="161">
        <v>0</v>
      </c>
      <c r="Q121" s="161">
        <f>ROUND(E121*P121,2)</f>
        <v>0</v>
      </c>
      <c r="R121" s="161" t="s">
        <v>98</v>
      </c>
      <c r="S121" s="161" t="s">
        <v>161</v>
      </c>
      <c r="T121" s="161" t="s">
        <v>161</v>
      </c>
      <c r="U121" s="138"/>
      <c r="V121" s="138"/>
      <c r="W121" s="138"/>
      <c r="X121" s="138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</row>
    <row r="122" spans="1:60" outlineLevel="1" x14ac:dyDescent="0.2">
      <c r="A122" s="183"/>
      <c r="B122" s="165"/>
      <c r="C122" s="195"/>
      <c r="D122" s="196"/>
      <c r="E122" s="196"/>
      <c r="F122" s="196"/>
      <c r="G122" s="196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</row>
    <row r="123" spans="1:60" ht="22.5" outlineLevel="1" x14ac:dyDescent="0.2">
      <c r="A123" s="184">
        <f>A121+1</f>
        <v>36</v>
      </c>
      <c r="B123" s="185" t="s">
        <v>246</v>
      </c>
      <c r="C123" s="189" t="s">
        <v>247</v>
      </c>
      <c r="D123" s="186" t="s">
        <v>91</v>
      </c>
      <c r="E123" s="187">
        <v>2</v>
      </c>
      <c r="F123" s="188"/>
      <c r="G123" s="161">
        <f>ROUND(E123*F123,2)</f>
        <v>0</v>
      </c>
      <c r="H123" s="188">
        <v>339.99</v>
      </c>
      <c r="I123" s="161">
        <f>ROUND(E123*H123,2)</f>
        <v>679.98</v>
      </c>
      <c r="J123" s="188">
        <v>352.01</v>
      </c>
      <c r="K123" s="161">
        <f>ROUND(E123*J123,2)</f>
        <v>704.02</v>
      </c>
      <c r="L123" s="161">
        <v>21</v>
      </c>
      <c r="M123" s="161">
        <f>G123*(1+L123/100)</f>
        <v>0</v>
      </c>
      <c r="N123" s="161">
        <v>0.25080000000000002</v>
      </c>
      <c r="O123" s="161">
        <f>ROUND(E123*N123,2)</f>
        <v>0.5</v>
      </c>
      <c r="P123" s="161">
        <v>0</v>
      </c>
      <c r="Q123" s="161">
        <f>ROUND(E123*P123,2)</f>
        <v>0</v>
      </c>
      <c r="R123" s="161" t="s">
        <v>98</v>
      </c>
      <c r="S123" s="161" t="s">
        <v>161</v>
      </c>
      <c r="T123" s="161" t="s">
        <v>161</v>
      </c>
      <c r="U123" s="138"/>
      <c r="V123" s="138"/>
      <c r="W123" s="138"/>
      <c r="X123" s="138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</row>
    <row r="124" spans="1:60" outlineLevel="1" x14ac:dyDescent="0.2">
      <c r="A124" s="183"/>
      <c r="B124" s="165"/>
      <c r="C124" s="195"/>
      <c r="D124" s="196"/>
      <c r="E124" s="196"/>
      <c r="F124" s="196"/>
      <c r="G124" s="196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</row>
    <row r="125" spans="1:60" outlineLevel="1" x14ac:dyDescent="0.2">
      <c r="A125" s="184">
        <f>A123+1</f>
        <v>37</v>
      </c>
      <c r="B125" s="185" t="s">
        <v>259</v>
      </c>
      <c r="C125" s="189" t="s">
        <v>258</v>
      </c>
      <c r="D125" s="186" t="s">
        <v>91</v>
      </c>
      <c r="E125" s="187">
        <v>5</v>
      </c>
      <c r="F125" s="188"/>
      <c r="G125" s="161">
        <f>ROUND(E125*F125,2)</f>
        <v>0</v>
      </c>
      <c r="H125" s="188">
        <v>339.99</v>
      </c>
      <c r="I125" s="161">
        <f>ROUND(E125*H125,2)</f>
        <v>1699.95</v>
      </c>
      <c r="J125" s="188">
        <v>352.01</v>
      </c>
      <c r="K125" s="161">
        <f>ROUND(E125*J125,2)</f>
        <v>1760.05</v>
      </c>
      <c r="L125" s="161">
        <v>21</v>
      </c>
      <c r="M125" s="161">
        <f>G125*(1+L125/100)</f>
        <v>0</v>
      </c>
      <c r="N125" s="161">
        <v>0.25080000000000002</v>
      </c>
      <c r="O125" s="161">
        <f>ROUND(E125*N125,2)</f>
        <v>1.25</v>
      </c>
      <c r="P125" s="161">
        <v>0</v>
      </c>
      <c r="Q125" s="161">
        <f>ROUND(E125*P125,2)</f>
        <v>0</v>
      </c>
      <c r="R125" s="161" t="s">
        <v>98</v>
      </c>
      <c r="S125" s="161" t="s">
        <v>161</v>
      </c>
      <c r="T125" s="161" t="s">
        <v>161</v>
      </c>
      <c r="U125" s="138"/>
      <c r="V125" s="138"/>
      <c r="W125" s="138"/>
      <c r="X125" s="138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</row>
    <row r="126" spans="1:60" outlineLevel="1" x14ac:dyDescent="0.2">
      <c r="A126" s="183"/>
      <c r="B126" s="165"/>
      <c r="C126" s="195"/>
      <c r="D126" s="196"/>
      <c r="E126" s="196"/>
      <c r="F126" s="196"/>
      <c r="G126" s="196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</row>
    <row r="127" spans="1:60" outlineLevel="1" x14ac:dyDescent="0.2">
      <c r="A127" s="184">
        <f>A125+1</f>
        <v>38</v>
      </c>
      <c r="B127" s="214" t="s">
        <v>248</v>
      </c>
      <c r="C127" s="215" t="s">
        <v>257</v>
      </c>
      <c r="D127" s="186" t="s">
        <v>91</v>
      </c>
      <c r="E127" s="187">
        <f>E125</f>
        <v>5</v>
      </c>
      <c r="F127" s="188"/>
      <c r="G127" s="161">
        <f>ROUND(E127*F127,2)</f>
        <v>0</v>
      </c>
      <c r="H127" s="188">
        <v>339.99</v>
      </c>
      <c r="I127" s="161">
        <f>ROUND(E127*H127,2)</f>
        <v>1699.95</v>
      </c>
      <c r="J127" s="188">
        <v>352.01</v>
      </c>
      <c r="K127" s="161">
        <f>ROUND(E127*J127,2)</f>
        <v>1760.05</v>
      </c>
      <c r="L127" s="161">
        <v>21</v>
      </c>
      <c r="M127" s="161">
        <f>G127*(1+L127/100)</f>
        <v>0</v>
      </c>
      <c r="N127" s="161">
        <v>0.25080000000000002</v>
      </c>
      <c r="O127" s="161">
        <f>ROUND(E127*N127,2)</f>
        <v>1.25</v>
      </c>
      <c r="P127" s="161">
        <v>0</v>
      </c>
      <c r="Q127" s="161">
        <f>ROUND(E127*P127,2)</f>
        <v>0</v>
      </c>
      <c r="R127" s="161" t="s">
        <v>98</v>
      </c>
      <c r="S127" s="161" t="s">
        <v>161</v>
      </c>
      <c r="T127" s="161" t="s">
        <v>161</v>
      </c>
      <c r="U127" s="138"/>
      <c r="V127" s="138"/>
      <c r="W127" s="138"/>
      <c r="X127" s="138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</row>
    <row r="128" spans="1:60" outlineLevel="1" x14ac:dyDescent="0.2">
      <c r="A128" s="183"/>
      <c r="B128" s="165"/>
      <c r="C128" s="195"/>
      <c r="D128" s="196"/>
      <c r="E128" s="196"/>
      <c r="F128" s="196"/>
      <c r="G128" s="196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</row>
    <row r="129" spans="1:60" outlineLevel="1" x14ac:dyDescent="0.2">
      <c r="A129" s="184">
        <f>A127+1</f>
        <v>39</v>
      </c>
      <c r="B129" s="185" t="s">
        <v>249</v>
      </c>
      <c r="C129" s="189" t="s">
        <v>250</v>
      </c>
      <c r="D129" s="186" t="s">
        <v>91</v>
      </c>
      <c r="E129" s="187">
        <f>E125</f>
        <v>5</v>
      </c>
      <c r="F129" s="188"/>
      <c r="G129" s="161">
        <f>ROUND(E129*F129,2)</f>
        <v>0</v>
      </c>
      <c r="H129" s="188">
        <v>339.99</v>
      </c>
      <c r="I129" s="161">
        <f>ROUND(E129*H129,2)</f>
        <v>1699.95</v>
      </c>
      <c r="J129" s="188">
        <v>352.01</v>
      </c>
      <c r="K129" s="161">
        <f>ROUND(E129*J129,2)</f>
        <v>1760.05</v>
      </c>
      <c r="L129" s="161">
        <v>21</v>
      </c>
      <c r="M129" s="161">
        <f>G129*(1+L129/100)</f>
        <v>0</v>
      </c>
      <c r="N129" s="161">
        <v>0.25080000000000002</v>
      </c>
      <c r="O129" s="161">
        <f>ROUND(E129*N129,2)</f>
        <v>1.25</v>
      </c>
      <c r="P129" s="161">
        <v>0</v>
      </c>
      <c r="Q129" s="161">
        <f>ROUND(E129*P129,2)</f>
        <v>0</v>
      </c>
      <c r="R129" s="161" t="s">
        <v>98</v>
      </c>
      <c r="S129" s="161" t="s">
        <v>161</v>
      </c>
      <c r="T129" s="161" t="s">
        <v>161</v>
      </c>
      <c r="U129" s="138"/>
      <c r="V129" s="138"/>
      <c r="W129" s="138"/>
      <c r="X129" s="138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</row>
    <row r="130" spans="1:60" outlineLevel="1" x14ac:dyDescent="0.2">
      <c r="A130" s="183"/>
      <c r="B130" s="165"/>
      <c r="C130" s="195"/>
      <c r="D130" s="196"/>
      <c r="E130" s="196"/>
      <c r="F130" s="196"/>
      <c r="G130" s="196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</row>
    <row r="131" spans="1:60" outlineLevel="1" x14ac:dyDescent="0.2">
      <c r="A131" s="184">
        <f>A129+1</f>
        <v>40</v>
      </c>
      <c r="B131" s="214" t="s">
        <v>251</v>
      </c>
      <c r="C131" s="215" t="s">
        <v>256</v>
      </c>
      <c r="D131" s="186" t="s">
        <v>91</v>
      </c>
      <c r="E131" s="187">
        <f>E129</f>
        <v>5</v>
      </c>
      <c r="F131" s="188"/>
      <c r="G131" s="161">
        <f>ROUND(E131*F131,2)</f>
        <v>0</v>
      </c>
      <c r="H131" s="188">
        <v>339.99</v>
      </c>
      <c r="I131" s="161">
        <f>ROUND(E131*H131,2)</f>
        <v>1699.95</v>
      </c>
      <c r="J131" s="188">
        <v>352.01</v>
      </c>
      <c r="K131" s="161">
        <f>ROUND(E131*J131,2)</f>
        <v>1760.05</v>
      </c>
      <c r="L131" s="161">
        <v>21</v>
      </c>
      <c r="M131" s="161">
        <f>G131*(1+L131/100)</f>
        <v>0</v>
      </c>
      <c r="N131" s="161">
        <v>0.25080000000000002</v>
      </c>
      <c r="O131" s="161">
        <f>ROUND(E131*N131,2)</f>
        <v>1.25</v>
      </c>
      <c r="P131" s="161">
        <v>0</v>
      </c>
      <c r="Q131" s="161">
        <f>ROUND(E131*P131,2)</f>
        <v>0</v>
      </c>
      <c r="R131" s="161" t="s">
        <v>98</v>
      </c>
      <c r="S131" s="161" t="s">
        <v>161</v>
      </c>
      <c r="T131" s="161" t="s">
        <v>161</v>
      </c>
      <c r="U131" s="138"/>
      <c r="V131" s="138"/>
      <c r="W131" s="138"/>
      <c r="X131" s="138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</row>
    <row r="132" spans="1:60" outlineLevel="1" x14ac:dyDescent="0.2">
      <c r="A132" s="183"/>
      <c r="B132" s="165"/>
      <c r="C132" s="195"/>
      <c r="D132" s="196"/>
      <c r="E132" s="196"/>
      <c r="F132" s="196"/>
      <c r="G132" s="196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</row>
    <row r="133" spans="1:60" outlineLevel="1" x14ac:dyDescent="0.2">
      <c r="A133" s="184">
        <f>A131+1</f>
        <v>41</v>
      </c>
      <c r="B133" s="185" t="s">
        <v>252</v>
      </c>
      <c r="C133" s="189" t="s">
        <v>254</v>
      </c>
      <c r="D133" s="186" t="s">
        <v>91</v>
      </c>
      <c r="E133" s="187">
        <f>E125</f>
        <v>5</v>
      </c>
      <c r="F133" s="188"/>
      <c r="G133" s="161">
        <f>ROUND(E133*F133,2)</f>
        <v>0</v>
      </c>
      <c r="H133" s="188">
        <v>339.99</v>
      </c>
      <c r="I133" s="161">
        <f>ROUND(E133*H133,2)</f>
        <v>1699.95</v>
      </c>
      <c r="J133" s="188">
        <v>352.01</v>
      </c>
      <c r="K133" s="161">
        <f>ROUND(E133*J133,2)</f>
        <v>1760.05</v>
      </c>
      <c r="L133" s="161">
        <v>21</v>
      </c>
      <c r="M133" s="161">
        <f>G133*(1+L133/100)</f>
        <v>0</v>
      </c>
      <c r="N133" s="161">
        <v>0.25080000000000002</v>
      </c>
      <c r="O133" s="161">
        <f>ROUND(E133*N133,2)</f>
        <v>1.25</v>
      </c>
      <c r="P133" s="161">
        <v>0</v>
      </c>
      <c r="Q133" s="161">
        <f>ROUND(E133*P133,2)</f>
        <v>0</v>
      </c>
      <c r="R133" s="161" t="s">
        <v>98</v>
      </c>
      <c r="S133" s="161" t="s">
        <v>161</v>
      </c>
      <c r="T133" s="161" t="s">
        <v>161</v>
      </c>
      <c r="U133" s="138"/>
      <c r="V133" s="138"/>
      <c r="W133" s="138"/>
      <c r="X133" s="138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</row>
    <row r="134" spans="1:60" outlineLevel="1" x14ac:dyDescent="0.2">
      <c r="A134" s="183"/>
      <c r="B134" s="165"/>
      <c r="C134" s="195"/>
      <c r="D134" s="196"/>
      <c r="E134" s="196"/>
      <c r="F134" s="196"/>
      <c r="G134" s="196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</row>
    <row r="135" spans="1:60" outlineLevel="1" x14ac:dyDescent="0.2">
      <c r="A135" s="184">
        <f>A133+1</f>
        <v>42</v>
      </c>
      <c r="B135" s="214" t="s">
        <v>253</v>
      </c>
      <c r="C135" s="215" t="s">
        <v>255</v>
      </c>
      <c r="D135" s="186" t="s">
        <v>91</v>
      </c>
      <c r="E135" s="187">
        <f>E133</f>
        <v>5</v>
      </c>
      <c r="F135" s="188"/>
      <c r="G135" s="161">
        <f>ROUND(E135*F135,2)</f>
        <v>0</v>
      </c>
      <c r="H135" s="188">
        <v>339.99</v>
      </c>
      <c r="I135" s="161">
        <f>ROUND(E135*H135,2)</f>
        <v>1699.95</v>
      </c>
      <c r="J135" s="188">
        <v>352.01</v>
      </c>
      <c r="K135" s="161">
        <f>ROUND(E135*J135,2)</f>
        <v>1760.05</v>
      </c>
      <c r="L135" s="161">
        <v>21</v>
      </c>
      <c r="M135" s="161">
        <f>G135*(1+L135/100)</f>
        <v>0</v>
      </c>
      <c r="N135" s="161">
        <v>0.25080000000000002</v>
      </c>
      <c r="O135" s="161">
        <f>ROUND(E135*N135,2)</f>
        <v>1.25</v>
      </c>
      <c r="P135" s="161">
        <v>0</v>
      </c>
      <c r="Q135" s="161">
        <f>ROUND(E135*P135,2)</f>
        <v>0</v>
      </c>
      <c r="R135" s="161" t="s">
        <v>98</v>
      </c>
      <c r="S135" s="161" t="s">
        <v>161</v>
      </c>
      <c r="T135" s="161" t="s">
        <v>161</v>
      </c>
      <c r="U135" s="138"/>
      <c r="V135" s="138"/>
      <c r="W135" s="138"/>
      <c r="X135" s="138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</row>
    <row r="136" spans="1:60" outlineLevel="1" x14ac:dyDescent="0.2">
      <c r="A136" s="183"/>
      <c r="B136" s="165"/>
      <c r="C136" s="195"/>
      <c r="D136" s="196"/>
      <c r="E136" s="196"/>
      <c r="F136" s="196"/>
      <c r="G136" s="196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</row>
    <row r="137" spans="1:60" outlineLevel="1" x14ac:dyDescent="0.2">
      <c r="A137" s="184">
        <f>A135+1</f>
        <v>43</v>
      </c>
      <c r="B137" s="185" t="s">
        <v>262</v>
      </c>
      <c r="C137" s="189" t="s">
        <v>260</v>
      </c>
      <c r="D137" s="186" t="s">
        <v>91</v>
      </c>
      <c r="E137" s="187">
        <f>E125</f>
        <v>5</v>
      </c>
      <c r="F137" s="188"/>
      <c r="G137" s="161">
        <f>ROUND(E137*F137,2)</f>
        <v>0</v>
      </c>
      <c r="H137" s="188">
        <v>339.99</v>
      </c>
      <c r="I137" s="161">
        <f>ROUND(E137*H137,2)</f>
        <v>1699.95</v>
      </c>
      <c r="J137" s="188">
        <v>352.01</v>
      </c>
      <c r="K137" s="161">
        <f>ROUND(E137*J137,2)</f>
        <v>1760.05</v>
      </c>
      <c r="L137" s="161">
        <v>21</v>
      </c>
      <c r="M137" s="161">
        <f>G137*(1+L137/100)</f>
        <v>0</v>
      </c>
      <c r="N137" s="161">
        <v>0.25080000000000002</v>
      </c>
      <c r="O137" s="161">
        <f>ROUND(E137*N137,2)</f>
        <v>1.25</v>
      </c>
      <c r="P137" s="161">
        <v>0</v>
      </c>
      <c r="Q137" s="161">
        <f>ROUND(E137*P137,2)</f>
        <v>0</v>
      </c>
      <c r="R137" s="161" t="s">
        <v>98</v>
      </c>
      <c r="S137" s="161" t="s">
        <v>161</v>
      </c>
      <c r="T137" s="161" t="s">
        <v>161</v>
      </c>
      <c r="U137" s="138"/>
      <c r="V137" s="138"/>
      <c r="W137" s="138"/>
      <c r="X137" s="138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</row>
    <row r="138" spans="1:60" outlineLevel="1" x14ac:dyDescent="0.2">
      <c r="A138" s="183"/>
      <c r="B138" s="165"/>
      <c r="C138" s="195"/>
      <c r="D138" s="196"/>
      <c r="E138" s="196"/>
      <c r="F138" s="196"/>
      <c r="G138" s="196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</row>
    <row r="139" spans="1:60" outlineLevel="1" x14ac:dyDescent="0.2">
      <c r="A139" s="184">
        <f>A137+1</f>
        <v>44</v>
      </c>
      <c r="B139" s="214" t="s">
        <v>343</v>
      </c>
      <c r="C139" s="215" t="s">
        <v>261</v>
      </c>
      <c r="D139" s="186" t="s">
        <v>91</v>
      </c>
      <c r="E139" s="187">
        <f>E125</f>
        <v>5</v>
      </c>
      <c r="F139" s="188"/>
      <c r="G139" s="161">
        <f>ROUND(E139*F139,2)</f>
        <v>0</v>
      </c>
      <c r="H139" s="188">
        <v>339.99</v>
      </c>
      <c r="I139" s="161">
        <f>ROUND(E139*H139,2)</f>
        <v>1699.95</v>
      </c>
      <c r="J139" s="188">
        <v>352.01</v>
      </c>
      <c r="K139" s="161">
        <f>ROUND(E139*J139,2)</f>
        <v>1760.05</v>
      </c>
      <c r="L139" s="161">
        <v>21</v>
      </c>
      <c r="M139" s="161">
        <f>G139*(1+L139/100)</f>
        <v>0</v>
      </c>
      <c r="N139" s="161">
        <v>0.25080000000000002</v>
      </c>
      <c r="O139" s="161">
        <f>ROUND(E139*N139,2)</f>
        <v>1.25</v>
      </c>
      <c r="P139" s="161">
        <v>0</v>
      </c>
      <c r="Q139" s="161">
        <f>ROUND(E139*P139,2)</f>
        <v>0</v>
      </c>
      <c r="R139" s="161" t="s">
        <v>98</v>
      </c>
      <c r="S139" s="161" t="s">
        <v>161</v>
      </c>
      <c r="T139" s="161" t="s">
        <v>161</v>
      </c>
      <c r="U139" s="138"/>
      <c r="V139" s="138"/>
      <c r="W139" s="138"/>
      <c r="X139" s="138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</row>
    <row r="140" spans="1:60" outlineLevel="1" x14ac:dyDescent="0.2">
      <c r="A140" s="183"/>
      <c r="B140" s="165"/>
      <c r="C140" s="198" t="s">
        <v>162</v>
      </c>
      <c r="D140" s="192"/>
      <c r="E140" s="193"/>
      <c r="F140" s="191"/>
      <c r="G140" s="138"/>
      <c r="H140" s="190"/>
      <c r="I140" s="138"/>
      <c r="J140" s="190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</row>
    <row r="141" spans="1:60" outlineLevel="1" x14ac:dyDescent="0.2">
      <c r="A141" s="183"/>
      <c r="B141" s="165"/>
      <c r="C141" s="195"/>
      <c r="D141" s="196"/>
      <c r="E141" s="196"/>
      <c r="F141" s="196"/>
      <c r="G141" s="196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</row>
    <row r="142" spans="1:60" outlineLevel="1" x14ac:dyDescent="0.2">
      <c r="A142" s="184">
        <f>A139+1</f>
        <v>45</v>
      </c>
      <c r="B142" s="185" t="s">
        <v>263</v>
      </c>
      <c r="C142" s="189" t="s">
        <v>264</v>
      </c>
      <c r="D142" s="186" t="s">
        <v>91</v>
      </c>
      <c r="E142" s="187">
        <v>5</v>
      </c>
      <c r="F142" s="188"/>
      <c r="G142" s="161">
        <f>ROUND(E142*F142,2)</f>
        <v>0</v>
      </c>
      <c r="H142" s="188">
        <v>339.99</v>
      </c>
      <c r="I142" s="161">
        <f>ROUND(E142*H142,2)</f>
        <v>1699.95</v>
      </c>
      <c r="J142" s="188">
        <v>352.01</v>
      </c>
      <c r="K142" s="161">
        <f>ROUND(E142*J142,2)</f>
        <v>1760.05</v>
      </c>
      <c r="L142" s="161">
        <v>21</v>
      </c>
      <c r="M142" s="161">
        <f>G142*(1+L142/100)</f>
        <v>0</v>
      </c>
      <c r="N142" s="161">
        <v>0.25080000000000002</v>
      </c>
      <c r="O142" s="161">
        <f>ROUND(E142*N142,2)</f>
        <v>1.25</v>
      </c>
      <c r="P142" s="161">
        <v>0</v>
      </c>
      <c r="Q142" s="161">
        <f>ROUND(E142*P142,2)</f>
        <v>0</v>
      </c>
      <c r="R142" s="161" t="s">
        <v>98</v>
      </c>
      <c r="S142" s="161" t="s">
        <v>161</v>
      </c>
      <c r="T142" s="161" t="s">
        <v>161</v>
      </c>
      <c r="U142" s="138"/>
      <c r="V142" s="138"/>
      <c r="W142" s="138"/>
      <c r="X142" s="138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</row>
    <row r="143" spans="1:60" outlineLevel="1" x14ac:dyDescent="0.2">
      <c r="A143" s="183"/>
      <c r="B143" s="165"/>
      <c r="C143" s="195"/>
      <c r="D143" s="196"/>
      <c r="E143" s="196"/>
      <c r="F143" s="196"/>
      <c r="G143" s="196"/>
      <c r="H143" s="138"/>
      <c r="I143" s="138"/>
      <c r="J143" s="138"/>
      <c r="K143" s="138"/>
      <c r="L143" s="138"/>
      <c r="M143" s="138"/>
      <c r="N143" s="138"/>
      <c r="O143" s="138"/>
      <c r="P143" s="138"/>
      <c r="Q143" s="138"/>
      <c r="R143" s="138"/>
      <c r="S143" s="138"/>
      <c r="T143" s="138"/>
      <c r="U143" s="138"/>
      <c r="V143" s="138"/>
      <c r="W143" s="138"/>
      <c r="X143" s="138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</row>
    <row r="144" spans="1:60" ht="22.5" outlineLevel="1" x14ac:dyDescent="0.2">
      <c r="A144" s="184">
        <f>A142+1</f>
        <v>46</v>
      </c>
      <c r="B144" s="185" t="s">
        <v>266</v>
      </c>
      <c r="C144" s="189" t="s">
        <v>265</v>
      </c>
      <c r="D144" s="186" t="s">
        <v>104</v>
      </c>
      <c r="E144" s="187">
        <v>1</v>
      </c>
      <c r="F144" s="188"/>
      <c r="G144" s="161">
        <f>ROUND(E144*F144,2)</f>
        <v>0</v>
      </c>
      <c r="H144" s="188">
        <v>339.99</v>
      </c>
      <c r="I144" s="161">
        <f>ROUND(E144*H144,2)</f>
        <v>339.99</v>
      </c>
      <c r="J144" s="188">
        <v>352.01</v>
      </c>
      <c r="K144" s="161">
        <f>ROUND(E144*J144,2)</f>
        <v>352.01</v>
      </c>
      <c r="L144" s="161">
        <v>21</v>
      </c>
      <c r="M144" s="161">
        <f>G144*(1+L144/100)</f>
        <v>0</v>
      </c>
      <c r="N144" s="161">
        <v>0.25080000000000002</v>
      </c>
      <c r="O144" s="161">
        <f>ROUND(E144*N144,2)</f>
        <v>0.25</v>
      </c>
      <c r="P144" s="161">
        <v>0</v>
      </c>
      <c r="Q144" s="161">
        <f>ROUND(E144*P144,2)</f>
        <v>0</v>
      </c>
      <c r="R144" s="161" t="s">
        <v>98</v>
      </c>
      <c r="S144" s="161" t="s">
        <v>161</v>
      </c>
      <c r="T144" s="161" t="s">
        <v>161</v>
      </c>
      <c r="U144" s="138"/>
      <c r="V144" s="138"/>
      <c r="W144" s="138"/>
      <c r="X144" s="138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</row>
    <row r="145" spans="1:60" outlineLevel="1" x14ac:dyDescent="0.2">
      <c r="A145" s="183"/>
      <c r="B145" s="165"/>
      <c r="C145" s="195"/>
      <c r="D145" s="196"/>
      <c r="E145" s="196"/>
      <c r="F145" s="196"/>
      <c r="G145" s="196"/>
      <c r="H145" s="138"/>
      <c r="I145" s="138"/>
      <c r="J145" s="138"/>
      <c r="K145" s="138"/>
      <c r="L145" s="138"/>
      <c r="M145" s="138"/>
      <c r="N145" s="138"/>
      <c r="O145" s="138"/>
      <c r="P145" s="138"/>
      <c r="Q145" s="138"/>
      <c r="R145" s="138"/>
      <c r="S145" s="138"/>
      <c r="T145" s="138"/>
      <c r="U145" s="138"/>
      <c r="V145" s="138"/>
      <c r="W145" s="138"/>
      <c r="X145" s="138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</row>
    <row r="146" spans="1:60" ht="22.5" outlineLevel="1" x14ac:dyDescent="0.2">
      <c r="A146" s="184">
        <f>A144+1</f>
        <v>47</v>
      </c>
      <c r="B146" s="185" t="s">
        <v>268</v>
      </c>
      <c r="C146" s="189" t="s">
        <v>267</v>
      </c>
      <c r="D146" s="186" t="s">
        <v>102</v>
      </c>
      <c r="E146" s="187">
        <v>8</v>
      </c>
      <c r="F146" s="188"/>
      <c r="G146" s="161">
        <f>ROUND(E146*F146,2)</f>
        <v>0</v>
      </c>
      <c r="H146" s="188">
        <v>339.99</v>
      </c>
      <c r="I146" s="161">
        <f>ROUND(E146*H146,2)</f>
        <v>2719.92</v>
      </c>
      <c r="J146" s="188">
        <v>352.01</v>
      </c>
      <c r="K146" s="161">
        <f>ROUND(E146*J146,2)</f>
        <v>2816.08</v>
      </c>
      <c r="L146" s="161">
        <v>21</v>
      </c>
      <c r="M146" s="161">
        <f>G146*(1+L146/100)</f>
        <v>0</v>
      </c>
      <c r="N146" s="161">
        <v>0.25080000000000002</v>
      </c>
      <c r="O146" s="161">
        <f>ROUND(E146*N146,2)</f>
        <v>2.0099999999999998</v>
      </c>
      <c r="P146" s="161">
        <v>0</v>
      </c>
      <c r="Q146" s="161">
        <f>ROUND(E146*P146,2)</f>
        <v>0</v>
      </c>
      <c r="R146" s="161" t="s">
        <v>98</v>
      </c>
      <c r="S146" s="161" t="s">
        <v>161</v>
      </c>
      <c r="T146" s="161" t="s">
        <v>161</v>
      </c>
      <c r="U146" s="138"/>
      <c r="V146" s="138"/>
      <c r="W146" s="138"/>
      <c r="X146" s="138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</row>
    <row r="147" spans="1:60" outlineLevel="1" x14ac:dyDescent="0.2">
      <c r="A147" s="183"/>
      <c r="B147" s="165"/>
      <c r="C147" s="195"/>
      <c r="D147" s="196"/>
      <c r="E147" s="196"/>
      <c r="F147" s="196"/>
      <c r="G147" s="196"/>
      <c r="H147" s="138"/>
      <c r="I147" s="138"/>
      <c r="J147" s="138"/>
      <c r="K147" s="138"/>
      <c r="L147" s="138"/>
      <c r="M147" s="138"/>
      <c r="N147" s="138"/>
      <c r="O147" s="138"/>
      <c r="P147" s="138"/>
      <c r="Q147" s="138"/>
      <c r="R147" s="138"/>
      <c r="S147" s="138"/>
      <c r="T147" s="138"/>
      <c r="U147" s="138"/>
      <c r="V147" s="138"/>
      <c r="W147" s="138"/>
      <c r="X147" s="138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</row>
    <row r="148" spans="1:60" ht="22.5" outlineLevel="1" x14ac:dyDescent="0.2">
      <c r="A148" s="184">
        <f>A146+1</f>
        <v>48</v>
      </c>
      <c r="B148" s="185" t="s">
        <v>269</v>
      </c>
      <c r="C148" s="189" t="s">
        <v>280</v>
      </c>
      <c r="D148" s="186" t="s">
        <v>102</v>
      </c>
      <c r="E148" s="187">
        <v>12</v>
      </c>
      <c r="F148" s="188"/>
      <c r="G148" s="161">
        <f>ROUND(E148*F148,2)</f>
        <v>0</v>
      </c>
      <c r="H148" s="188">
        <v>339.99</v>
      </c>
      <c r="I148" s="161">
        <f>ROUND(E148*H148,2)</f>
        <v>4079.88</v>
      </c>
      <c r="J148" s="188">
        <v>352.01</v>
      </c>
      <c r="K148" s="161">
        <f>ROUND(E148*J148,2)</f>
        <v>4224.12</v>
      </c>
      <c r="L148" s="161">
        <v>21</v>
      </c>
      <c r="M148" s="161">
        <f>G148*(1+L148/100)</f>
        <v>0</v>
      </c>
      <c r="N148" s="161">
        <v>0.25080000000000002</v>
      </c>
      <c r="O148" s="161">
        <f>ROUND(E148*N148,2)</f>
        <v>3.01</v>
      </c>
      <c r="P148" s="161">
        <v>0</v>
      </c>
      <c r="Q148" s="161">
        <f>ROUND(E148*P148,2)</f>
        <v>0</v>
      </c>
      <c r="R148" s="161" t="s">
        <v>98</v>
      </c>
      <c r="S148" s="161" t="s">
        <v>161</v>
      </c>
      <c r="T148" s="161" t="s">
        <v>161</v>
      </c>
      <c r="U148" s="138"/>
      <c r="V148" s="138"/>
      <c r="W148" s="138"/>
      <c r="X148" s="138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</row>
    <row r="149" spans="1:60" outlineLevel="1" x14ac:dyDescent="0.2">
      <c r="A149" s="183"/>
      <c r="B149" s="165"/>
      <c r="C149" s="195"/>
      <c r="D149" s="196"/>
      <c r="E149" s="196"/>
      <c r="F149" s="196"/>
      <c r="G149" s="196"/>
      <c r="H149" s="138"/>
      <c r="I149" s="138"/>
      <c r="J149" s="138"/>
      <c r="K149" s="138"/>
      <c r="L149" s="138"/>
      <c r="M149" s="138"/>
      <c r="N149" s="138"/>
      <c r="O149" s="138"/>
      <c r="P149" s="138"/>
      <c r="Q149" s="138"/>
      <c r="R149" s="138"/>
      <c r="S149" s="138"/>
      <c r="T149" s="138"/>
      <c r="U149" s="138"/>
      <c r="V149" s="138"/>
      <c r="W149" s="138"/>
      <c r="X149" s="138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</row>
    <row r="150" spans="1:60" outlineLevel="1" x14ac:dyDescent="0.2">
      <c r="A150" s="184">
        <f>A148+1</f>
        <v>49</v>
      </c>
      <c r="B150" s="214" t="s">
        <v>272</v>
      </c>
      <c r="C150" s="215" t="s">
        <v>279</v>
      </c>
      <c r="D150" s="186" t="s">
        <v>102</v>
      </c>
      <c r="E150" s="187">
        <v>12</v>
      </c>
      <c r="F150" s="188"/>
      <c r="G150" s="161">
        <f>ROUND(E150*F150,2)</f>
        <v>0</v>
      </c>
      <c r="H150" s="188">
        <v>339.99</v>
      </c>
      <c r="I150" s="161">
        <f>ROUND(E150*H150,2)</f>
        <v>4079.88</v>
      </c>
      <c r="J150" s="188">
        <v>352.01</v>
      </c>
      <c r="K150" s="161">
        <f>ROUND(E150*J150,2)</f>
        <v>4224.12</v>
      </c>
      <c r="L150" s="161">
        <v>21</v>
      </c>
      <c r="M150" s="161">
        <f>G150*(1+L150/100)</f>
        <v>0</v>
      </c>
      <c r="N150" s="161">
        <v>0.25080000000000002</v>
      </c>
      <c r="O150" s="161">
        <f>ROUND(E150*N150,2)</f>
        <v>3.01</v>
      </c>
      <c r="P150" s="161">
        <v>0</v>
      </c>
      <c r="Q150" s="161">
        <f>ROUND(E150*P150,2)</f>
        <v>0</v>
      </c>
      <c r="R150" s="161" t="s">
        <v>98</v>
      </c>
      <c r="S150" s="161" t="s">
        <v>161</v>
      </c>
      <c r="T150" s="161" t="s">
        <v>161</v>
      </c>
      <c r="U150" s="138"/>
      <c r="V150" s="138"/>
      <c r="W150" s="138"/>
      <c r="X150" s="138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</row>
    <row r="151" spans="1:60" outlineLevel="1" x14ac:dyDescent="0.2">
      <c r="A151" s="183"/>
      <c r="B151" s="165"/>
      <c r="C151" s="195"/>
      <c r="D151" s="196"/>
      <c r="E151" s="196"/>
      <c r="F151" s="196"/>
      <c r="G151" s="196"/>
      <c r="H151" s="138"/>
      <c r="I151" s="138"/>
      <c r="J151" s="138"/>
      <c r="K151" s="138"/>
      <c r="L151" s="138"/>
      <c r="M151" s="138"/>
      <c r="N151" s="138"/>
      <c r="O151" s="138"/>
      <c r="P151" s="138"/>
      <c r="Q151" s="138"/>
      <c r="R151" s="138"/>
      <c r="S151" s="138"/>
      <c r="T151" s="138"/>
      <c r="U151" s="138"/>
      <c r="V151" s="138"/>
      <c r="W151" s="138"/>
      <c r="X151" s="138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</row>
    <row r="152" spans="1:60" outlineLevel="1" x14ac:dyDescent="0.2">
      <c r="A152" s="184">
        <f>A150+1</f>
        <v>50</v>
      </c>
      <c r="B152" s="185" t="s">
        <v>275</v>
      </c>
      <c r="C152" s="189" t="s">
        <v>270</v>
      </c>
      <c r="D152" s="186" t="s">
        <v>91</v>
      </c>
      <c r="E152" s="187">
        <v>1</v>
      </c>
      <c r="F152" s="188"/>
      <c r="G152" s="161">
        <f>ROUND(E152*F152,2)</f>
        <v>0</v>
      </c>
      <c r="H152" s="188">
        <v>339.99</v>
      </c>
      <c r="I152" s="161">
        <f>ROUND(E152*H152,2)</f>
        <v>339.99</v>
      </c>
      <c r="J152" s="188">
        <v>352.01</v>
      </c>
      <c r="K152" s="161">
        <f>ROUND(E152*J152,2)</f>
        <v>352.01</v>
      </c>
      <c r="L152" s="161">
        <v>21</v>
      </c>
      <c r="M152" s="161">
        <f>G152*(1+L152/100)</f>
        <v>0</v>
      </c>
      <c r="N152" s="161">
        <v>0.25080000000000002</v>
      </c>
      <c r="O152" s="161">
        <f>ROUND(E152*N152,2)</f>
        <v>0.25</v>
      </c>
      <c r="P152" s="161">
        <v>0</v>
      </c>
      <c r="Q152" s="161">
        <f>ROUND(E152*P152,2)</f>
        <v>0</v>
      </c>
      <c r="R152" s="161" t="s">
        <v>98</v>
      </c>
      <c r="S152" s="161" t="s">
        <v>161</v>
      </c>
      <c r="T152" s="161" t="s">
        <v>161</v>
      </c>
      <c r="U152" s="138"/>
      <c r="V152" s="138"/>
      <c r="W152" s="138"/>
      <c r="X152" s="138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</row>
    <row r="153" spans="1:60" outlineLevel="1" x14ac:dyDescent="0.2">
      <c r="A153" s="183"/>
      <c r="B153" s="165"/>
      <c r="C153" s="195"/>
      <c r="D153" s="196"/>
      <c r="E153" s="196"/>
      <c r="F153" s="196"/>
      <c r="G153" s="196"/>
      <c r="H153" s="138"/>
      <c r="I153" s="138"/>
      <c r="J153" s="138"/>
      <c r="K153" s="138"/>
      <c r="L153" s="138"/>
      <c r="M153" s="138"/>
      <c r="N153" s="138"/>
      <c r="O153" s="138"/>
      <c r="P153" s="138"/>
      <c r="Q153" s="138"/>
      <c r="R153" s="138"/>
      <c r="S153" s="138"/>
      <c r="T153" s="138"/>
      <c r="U153" s="138"/>
      <c r="V153" s="138"/>
      <c r="W153" s="138"/>
      <c r="X153" s="138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</row>
    <row r="154" spans="1:60" outlineLevel="1" x14ac:dyDescent="0.2">
      <c r="A154" s="184">
        <f>A152+1</f>
        <v>51</v>
      </c>
      <c r="B154" s="214" t="s">
        <v>273</v>
      </c>
      <c r="C154" s="215" t="s">
        <v>277</v>
      </c>
      <c r="D154" s="186" t="s">
        <v>91</v>
      </c>
      <c r="E154" s="187">
        <v>1</v>
      </c>
      <c r="F154" s="188"/>
      <c r="G154" s="161">
        <f>ROUND(E154*F154,2)</f>
        <v>0</v>
      </c>
      <c r="H154" s="188">
        <v>339.99</v>
      </c>
      <c r="I154" s="161">
        <f>ROUND(E154*H154,2)</f>
        <v>339.99</v>
      </c>
      <c r="J154" s="188">
        <v>352.01</v>
      </c>
      <c r="K154" s="161">
        <f>ROUND(E154*J154,2)</f>
        <v>352.01</v>
      </c>
      <c r="L154" s="161">
        <v>21</v>
      </c>
      <c r="M154" s="161">
        <f>G154*(1+L154/100)</f>
        <v>0</v>
      </c>
      <c r="N154" s="161">
        <v>0.25080000000000002</v>
      </c>
      <c r="O154" s="161">
        <f>ROUND(E154*N154,2)</f>
        <v>0.25</v>
      </c>
      <c r="P154" s="161">
        <v>0</v>
      </c>
      <c r="Q154" s="161">
        <f>ROUND(E154*P154,2)</f>
        <v>0</v>
      </c>
      <c r="R154" s="161" t="s">
        <v>98</v>
      </c>
      <c r="S154" s="161" t="s">
        <v>161</v>
      </c>
      <c r="T154" s="161" t="s">
        <v>161</v>
      </c>
      <c r="U154" s="138"/>
      <c r="V154" s="138"/>
      <c r="W154" s="138"/>
      <c r="X154" s="138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</row>
    <row r="155" spans="1:60" outlineLevel="1" x14ac:dyDescent="0.2">
      <c r="A155" s="183"/>
      <c r="B155" s="165"/>
      <c r="C155" s="195"/>
      <c r="D155" s="196"/>
      <c r="E155" s="196"/>
      <c r="F155" s="196"/>
      <c r="G155" s="196"/>
      <c r="H155" s="138"/>
      <c r="I155" s="138"/>
      <c r="J155" s="138"/>
      <c r="K155" s="138"/>
      <c r="L155" s="138"/>
      <c r="M155" s="138"/>
      <c r="N155" s="138"/>
      <c r="O155" s="138"/>
      <c r="P155" s="138"/>
      <c r="Q155" s="138"/>
      <c r="R155" s="138"/>
      <c r="S155" s="138"/>
      <c r="T155" s="138"/>
      <c r="U155" s="138"/>
      <c r="V155" s="138"/>
      <c r="W155" s="138"/>
      <c r="X155" s="138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</row>
    <row r="156" spans="1:60" outlineLevel="1" x14ac:dyDescent="0.2">
      <c r="A156" s="184">
        <f>A154+1</f>
        <v>52</v>
      </c>
      <c r="B156" s="185" t="s">
        <v>271</v>
      </c>
      <c r="C156" s="189" t="s">
        <v>274</v>
      </c>
      <c r="D156" s="186" t="s">
        <v>91</v>
      </c>
      <c r="E156" s="187">
        <v>2</v>
      </c>
      <c r="F156" s="188"/>
      <c r="G156" s="161">
        <f>ROUND(E156*F156,2)</f>
        <v>0</v>
      </c>
      <c r="H156" s="188">
        <v>339.99</v>
      </c>
      <c r="I156" s="161">
        <f>ROUND(E156*H156,2)</f>
        <v>679.98</v>
      </c>
      <c r="J156" s="188">
        <v>352.01</v>
      </c>
      <c r="K156" s="161">
        <f>ROUND(E156*J156,2)</f>
        <v>704.02</v>
      </c>
      <c r="L156" s="161">
        <v>21</v>
      </c>
      <c r="M156" s="161">
        <f>G156*(1+L156/100)</f>
        <v>0</v>
      </c>
      <c r="N156" s="161">
        <v>0.25080000000000002</v>
      </c>
      <c r="O156" s="161">
        <f>ROUND(E156*N156,2)</f>
        <v>0.5</v>
      </c>
      <c r="P156" s="161">
        <v>0</v>
      </c>
      <c r="Q156" s="161">
        <f>ROUND(E156*P156,2)</f>
        <v>0</v>
      </c>
      <c r="R156" s="161" t="s">
        <v>98</v>
      </c>
      <c r="S156" s="161" t="s">
        <v>161</v>
      </c>
      <c r="T156" s="161" t="s">
        <v>161</v>
      </c>
      <c r="U156" s="138"/>
      <c r="V156" s="138"/>
      <c r="W156" s="138"/>
      <c r="X156" s="138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</row>
    <row r="157" spans="1:60" outlineLevel="1" x14ac:dyDescent="0.2">
      <c r="A157" s="183"/>
      <c r="B157" s="165"/>
      <c r="C157" s="195"/>
      <c r="D157" s="196"/>
      <c r="E157" s="196"/>
      <c r="F157" s="196"/>
      <c r="G157" s="196"/>
      <c r="H157" s="138"/>
      <c r="I157" s="138"/>
      <c r="J157" s="138"/>
      <c r="K157" s="138"/>
      <c r="L157" s="138"/>
      <c r="M157" s="138"/>
      <c r="N157" s="138"/>
      <c r="O157" s="138"/>
      <c r="P157" s="138"/>
      <c r="Q157" s="138"/>
      <c r="R157" s="138"/>
      <c r="S157" s="138"/>
      <c r="T157" s="138"/>
      <c r="U157" s="138"/>
      <c r="V157" s="138"/>
      <c r="W157" s="138"/>
      <c r="X157" s="138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</row>
    <row r="158" spans="1:60" outlineLevel="1" x14ac:dyDescent="0.2">
      <c r="A158" s="184">
        <f>A156+1</f>
        <v>53</v>
      </c>
      <c r="B158" s="214" t="s">
        <v>278</v>
      </c>
      <c r="C158" s="215" t="s">
        <v>276</v>
      </c>
      <c r="D158" s="186" t="s">
        <v>91</v>
      </c>
      <c r="E158" s="187">
        <f>E156</f>
        <v>2</v>
      </c>
      <c r="F158" s="188"/>
      <c r="G158" s="161">
        <f>ROUND(E158*F158,2)</f>
        <v>0</v>
      </c>
      <c r="H158" s="188">
        <v>339.99</v>
      </c>
      <c r="I158" s="161">
        <f>ROUND(E158*H158,2)</f>
        <v>679.98</v>
      </c>
      <c r="J158" s="188">
        <v>352.01</v>
      </c>
      <c r="K158" s="161">
        <f>ROUND(E158*J158,2)</f>
        <v>704.02</v>
      </c>
      <c r="L158" s="161">
        <v>21</v>
      </c>
      <c r="M158" s="161">
        <f>G158*(1+L158/100)</f>
        <v>0</v>
      </c>
      <c r="N158" s="161">
        <v>0.25080000000000002</v>
      </c>
      <c r="O158" s="161">
        <f>ROUND(E158*N158,2)</f>
        <v>0.5</v>
      </c>
      <c r="P158" s="161">
        <v>0</v>
      </c>
      <c r="Q158" s="161">
        <f>ROUND(E158*P158,2)</f>
        <v>0</v>
      </c>
      <c r="R158" s="161" t="s">
        <v>98</v>
      </c>
      <c r="S158" s="161" t="s">
        <v>161</v>
      </c>
      <c r="T158" s="161" t="s">
        <v>161</v>
      </c>
      <c r="U158" s="138"/>
      <c r="V158" s="138"/>
      <c r="W158" s="138"/>
      <c r="X158" s="138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</row>
    <row r="159" spans="1:60" outlineLevel="1" x14ac:dyDescent="0.2">
      <c r="A159" s="183"/>
      <c r="B159" s="165"/>
      <c r="C159" s="195"/>
      <c r="D159" s="196"/>
      <c r="E159" s="196"/>
      <c r="F159" s="196"/>
      <c r="G159" s="196"/>
      <c r="H159" s="138"/>
      <c r="I159" s="138"/>
      <c r="J159" s="138"/>
      <c r="K159" s="138"/>
      <c r="L159" s="138"/>
      <c r="M159" s="138"/>
      <c r="N159" s="138"/>
      <c r="O159" s="138"/>
      <c r="P159" s="138"/>
      <c r="Q159" s="138"/>
      <c r="R159" s="138"/>
      <c r="S159" s="138"/>
      <c r="T159" s="138"/>
      <c r="U159" s="138"/>
      <c r="V159" s="138"/>
      <c r="W159" s="138"/>
      <c r="X159" s="138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</row>
    <row r="160" spans="1:60" outlineLevel="1" x14ac:dyDescent="0.2">
      <c r="A160" s="184">
        <f>A158+1</f>
        <v>54</v>
      </c>
      <c r="B160" s="185" t="s">
        <v>398</v>
      </c>
      <c r="C160" s="189" t="s">
        <v>404</v>
      </c>
      <c r="D160" s="186" t="s">
        <v>102</v>
      </c>
      <c r="E160" s="187">
        <f>E162</f>
        <v>7.1999999999999993</v>
      </c>
      <c r="F160" s="188"/>
      <c r="G160" s="161">
        <f>ROUND(E160*F160,2)</f>
        <v>0</v>
      </c>
      <c r="H160" s="138"/>
      <c r="I160" s="138"/>
      <c r="J160" s="138"/>
      <c r="K160" s="138"/>
      <c r="L160" s="161">
        <v>21</v>
      </c>
      <c r="M160" s="161">
        <f>G160*(1+L160/100)</f>
        <v>0</v>
      </c>
      <c r="N160" s="161">
        <v>0.17599999999999999</v>
      </c>
      <c r="O160" s="161">
        <f>ROUND(E160*N160,2)</f>
        <v>1.27</v>
      </c>
      <c r="P160" s="161">
        <v>0</v>
      </c>
      <c r="Q160" s="161">
        <f>ROUND(E160*P160,2)</f>
        <v>0</v>
      </c>
      <c r="R160" s="161" t="s">
        <v>134</v>
      </c>
      <c r="S160" s="161" t="s">
        <v>161</v>
      </c>
      <c r="T160" s="162" t="s">
        <v>95</v>
      </c>
      <c r="U160" s="138"/>
      <c r="V160" s="138"/>
      <c r="W160" s="138"/>
      <c r="X160" s="138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</row>
    <row r="161" spans="1:60" outlineLevel="1" x14ac:dyDescent="0.2">
      <c r="A161" s="183"/>
      <c r="B161" s="165"/>
      <c r="C161" s="309" t="s">
        <v>135</v>
      </c>
      <c r="D161" s="310"/>
      <c r="E161" s="310"/>
      <c r="F161" s="310"/>
      <c r="G161" s="310"/>
      <c r="H161" s="138"/>
      <c r="I161" s="138"/>
      <c r="J161" s="138"/>
      <c r="K161" s="138"/>
      <c r="L161" s="138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</row>
    <row r="162" spans="1:60" outlineLevel="1" x14ac:dyDescent="0.2">
      <c r="A162" s="183"/>
      <c r="B162" s="165"/>
      <c r="C162" s="211" t="s">
        <v>399</v>
      </c>
      <c r="D162" s="212"/>
      <c r="E162" s="213">
        <f>6*1.2</f>
        <v>7.1999999999999993</v>
      </c>
      <c r="F162" s="210"/>
      <c r="G162" s="210"/>
      <c r="H162" s="138"/>
      <c r="I162" s="138"/>
      <c r="J162" s="138"/>
      <c r="K162" s="138"/>
      <c r="L162" s="138"/>
      <c r="M162" s="138"/>
      <c r="N162" s="138"/>
      <c r="O162" s="138"/>
      <c r="P162" s="138"/>
      <c r="Q162" s="138"/>
      <c r="R162" s="138"/>
      <c r="S162" s="138"/>
      <c r="T162" s="138"/>
      <c r="U162" s="138"/>
      <c r="V162" s="138"/>
      <c r="W162" s="138"/>
      <c r="X162" s="138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</row>
    <row r="163" spans="1:60" outlineLevel="1" x14ac:dyDescent="0.2">
      <c r="A163" s="183"/>
      <c r="B163" s="165"/>
      <c r="C163" s="195"/>
      <c r="D163" s="196"/>
      <c r="E163" s="196"/>
      <c r="F163" s="196"/>
      <c r="G163" s="196"/>
      <c r="H163" s="138"/>
      <c r="I163" s="138"/>
      <c r="J163" s="138"/>
      <c r="K163" s="138"/>
      <c r="L163" s="138"/>
      <c r="M163" s="138"/>
      <c r="N163" s="138"/>
      <c r="O163" s="138"/>
      <c r="P163" s="138"/>
      <c r="Q163" s="138"/>
      <c r="R163" s="138"/>
      <c r="S163" s="138"/>
      <c r="T163" s="138"/>
      <c r="U163" s="138"/>
      <c r="V163" s="138"/>
      <c r="W163" s="138"/>
      <c r="X163" s="138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</row>
    <row r="164" spans="1:60" outlineLevel="1" x14ac:dyDescent="0.2">
      <c r="A164" s="184">
        <f>A160+1</f>
        <v>55</v>
      </c>
      <c r="B164" s="214" t="s">
        <v>402</v>
      </c>
      <c r="C164" s="215" t="s">
        <v>400</v>
      </c>
      <c r="D164" s="186" t="s">
        <v>102</v>
      </c>
      <c r="E164" s="187">
        <f>6*1.5</f>
        <v>9</v>
      </c>
      <c r="F164" s="188"/>
      <c r="G164" s="161">
        <f>ROUND(E164*F164,2)</f>
        <v>0</v>
      </c>
      <c r="H164" s="188">
        <v>143</v>
      </c>
      <c r="I164" s="161">
        <f>ROUND(E164*H164,2)</f>
        <v>1287</v>
      </c>
      <c r="J164" s="188">
        <v>0</v>
      </c>
      <c r="K164" s="161">
        <f>ROUND(E164*J164,2)</f>
        <v>0</v>
      </c>
      <c r="L164" s="161">
        <v>21</v>
      </c>
      <c r="M164" s="161">
        <f>G164*(1+L164/100)</f>
        <v>0</v>
      </c>
      <c r="N164" s="161">
        <v>5.4170000000000003E-2</v>
      </c>
      <c r="O164" s="161">
        <f>ROUND(E164*N164,2)</f>
        <v>0.49</v>
      </c>
      <c r="P164" s="161">
        <v>0</v>
      </c>
      <c r="Q164" s="161">
        <f>ROUND(E164*P164,2)</f>
        <v>0</v>
      </c>
      <c r="R164" s="161" t="s">
        <v>134</v>
      </c>
      <c r="S164" s="161" t="s">
        <v>161</v>
      </c>
      <c r="T164" s="161" t="s">
        <v>95</v>
      </c>
      <c r="U164" s="138"/>
      <c r="V164" s="138"/>
      <c r="W164" s="138"/>
      <c r="X164" s="138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</row>
    <row r="165" spans="1:60" outlineLevel="1" x14ac:dyDescent="0.2">
      <c r="A165" s="183"/>
      <c r="B165" s="165"/>
      <c r="C165" s="195"/>
      <c r="D165" s="196"/>
      <c r="E165" s="196"/>
      <c r="F165" s="196"/>
      <c r="G165" s="196"/>
      <c r="H165" s="138"/>
      <c r="I165" s="138"/>
      <c r="J165" s="138"/>
      <c r="K165" s="138"/>
      <c r="L165" s="138"/>
      <c r="M165" s="138"/>
      <c r="N165" s="138"/>
      <c r="O165" s="138"/>
      <c r="P165" s="138"/>
      <c r="Q165" s="138"/>
      <c r="R165" s="138"/>
      <c r="S165" s="138"/>
      <c r="T165" s="138"/>
      <c r="U165" s="138"/>
      <c r="V165" s="138"/>
      <c r="W165" s="138"/>
      <c r="X165" s="138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</row>
    <row r="166" spans="1:60" outlineLevel="1" x14ac:dyDescent="0.2">
      <c r="A166" s="184">
        <f>A164+1</f>
        <v>56</v>
      </c>
      <c r="B166" s="214" t="s">
        <v>403</v>
      </c>
      <c r="C166" s="215" t="s">
        <v>401</v>
      </c>
      <c r="D166" s="186" t="s">
        <v>91</v>
      </c>
      <c r="E166" s="187">
        <v>6</v>
      </c>
      <c r="F166" s="188"/>
      <c r="G166" s="161">
        <f>ROUND(E166*F166,2)</f>
        <v>0</v>
      </c>
      <c r="H166" s="188">
        <v>143</v>
      </c>
      <c r="I166" s="161">
        <f>ROUND(E166*H166,2)</f>
        <v>858</v>
      </c>
      <c r="J166" s="188">
        <v>0</v>
      </c>
      <c r="K166" s="161">
        <f>ROUND(E166*J166,2)</f>
        <v>0</v>
      </c>
      <c r="L166" s="161">
        <v>21</v>
      </c>
      <c r="M166" s="161">
        <f>G166*(1+L166/100)</f>
        <v>0</v>
      </c>
      <c r="N166" s="161">
        <v>5.4170000000000003E-2</v>
      </c>
      <c r="O166" s="161">
        <f>ROUND(E166*N166,2)</f>
        <v>0.33</v>
      </c>
      <c r="P166" s="161">
        <v>0</v>
      </c>
      <c r="Q166" s="161">
        <f>ROUND(E166*P166,2)</f>
        <v>0</v>
      </c>
      <c r="R166" s="161" t="s">
        <v>134</v>
      </c>
      <c r="S166" s="161" t="s">
        <v>161</v>
      </c>
      <c r="T166" s="161" t="s">
        <v>95</v>
      </c>
      <c r="U166" s="138"/>
      <c r="V166" s="138"/>
      <c r="W166" s="138"/>
      <c r="X166" s="138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</row>
    <row r="167" spans="1:60" outlineLevel="1" x14ac:dyDescent="0.2">
      <c r="A167" s="183"/>
      <c r="B167" s="165"/>
      <c r="C167" s="195"/>
      <c r="D167" s="196"/>
      <c r="E167" s="196"/>
      <c r="F167" s="196"/>
      <c r="G167" s="196"/>
      <c r="H167" s="138"/>
      <c r="I167" s="138"/>
      <c r="J167" s="138"/>
      <c r="K167" s="138"/>
      <c r="L167" s="138"/>
      <c r="M167" s="138"/>
      <c r="N167" s="138"/>
      <c r="O167" s="138"/>
      <c r="P167" s="138"/>
      <c r="Q167" s="138"/>
      <c r="R167" s="138"/>
      <c r="S167" s="138"/>
      <c r="T167" s="138"/>
      <c r="U167" s="138"/>
      <c r="V167" s="138"/>
      <c r="W167" s="138"/>
      <c r="X167" s="138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</row>
    <row r="168" spans="1:60" outlineLevel="1" x14ac:dyDescent="0.2">
      <c r="A168" s="184">
        <f>A166+1</f>
        <v>57</v>
      </c>
      <c r="B168" s="185" t="s">
        <v>283</v>
      </c>
      <c r="C168" s="189" t="s">
        <v>281</v>
      </c>
      <c r="D168" s="186" t="s">
        <v>102</v>
      </c>
      <c r="E168" s="187">
        <f>E170</f>
        <v>255</v>
      </c>
      <c r="F168" s="188"/>
      <c r="G168" s="161">
        <f>ROUND(E168*F168,2)</f>
        <v>0</v>
      </c>
      <c r="H168" s="188">
        <v>320.33</v>
      </c>
      <c r="I168" s="161">
        <f>ROUND(E168*H168,2)</f>
        <v>81684.149999999994</v>
      </c>
      <c r="J168" s="188">
        <v>128.16999999999999</v>
      </c>
      <c r="K168" s="161">
        <f>ROUND(E168*J168,2)</f>
        <v>32683.35</v>
      </c>
      <c r="L168" s="161">
        <v>21</v>
      </c>
      <c r="M168" s="161">
        <f>G168*(1+L168/100)</f>
        <v>0</v>
      </c>
      <c r="N168" s="161">
        <v>0.26980999999999999</v>
      </c>
      <c r="O168" s="161">
        <f>ROUND(E168*N168,2)</f>
        <v>68.8</v>
      </c>
      <c r="P168" s="161">
        <v>0</v>
      </c>
      <c r="Q168" s="161">
        <f>ROUND(E168*P168,2)</f>
        <v>0</v>
      </c>
      <c r="R168" s="161" t="s">
        <v>98</v>
      </c>
      <c r="S168" s="161" t="s">
        <v>161</v>
      </c>
      <c r="T168" s="161" t="s">
        <v>161</v>
      </c>
      <c r="U168" s="138"/>
      <c r="V168" s="138"/>
      <c r="W168" s="138"/>
      <c r="X168" s="138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</row>
    <row r="169" spans="1:60" outlineLevel="1" x14ac:dyDescent="0.2">
      <c r="A169" s="183"/>
      <c r="B169" s="165"/>
      <c r="C169" s="309" t="s">
        <v>135</v>
      </c>
      <c r="D169" s="310"/>
      <c r="E169" s="310"/>
      <c r="F169" s="310"/>
      <c r="G169" s="310"/>
      <c r="H169" s="138"/>
      <c r="I169" s="138"/>
      <c r="J169" s="138"/>
      <c r="K169" s="138"/>
      <c r="L169" s="138"/>
      <c r="M169" s="138"/>
      <c r="N169" s="138"/>
      <c r="O169" s="138"/>
      <c r="P169" s="138"/>
      <c r="Q169" s="138"/>
      <c r="R169" s="138"/>
      <c r="S169" s="138"/>
      <c r="T169" s="138"/>
      <c r="U169" s="138"/>
      <c r="V169" s="138"/>
      <c r="W169" s="138"/>
      <c r="X169" s="138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</row>
    <row r="170" spans="1:60" outlineLevel="1" x14ac:dyDescent="0.2">
      <c r="A170" s="183"/>
      <c r="B170" s="165"/>
      <c r="C170" s="211" t="s">
        <v>293</v>
      </c>
      <c r="D170" s="212"/>
      <c r="E170" s="213">
        <f>120+135</f>
        <v>255</v>
      </c>
      <c r="F170" s="210"/>
      <c r="G170" s="210"/>
      <c r="H170" s="138"/>
      <c r="I170" s="138"/>
      <c r="J170" s="138"/>
      <c r="K170" s="138"/>
      <c r="L170" s="138"/>
      <c r="M170" s="138"/>
      <c r="N170" s="138"/>
      <c r="O170" s="138"/>
      <c r="P170" s="138"/>
      <c r="Q170" s="138"/>
      <c r="R170" s="138"/>
      <c r="S170" s="138"/>
      <c r="T170" s="138"/>
      <c r="U170" s="138"/>
      <c r="V170" s="138"/>
      <c r="W170" s="138"/>
      <c r="X170" s="138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</row>
    <row r="171" spans="1:60" outlineLevel="1" x14ac:dyDescent="0.2">
      <c r="A171" s="183"/>
      <c r="B171" s="165"/>
      <c r="C171" s="322"/>
      <c r="D171" s="323"/>
      <c r="E171" s="323"/>
      <c r="F171" s="323"/>
      <c r="G171" s="323"/>
      <c r="H171" s="138"/>
      <c r="I171" s="138"/>
      <c r="J171" s="138"/>
      <c r="K171" s="138"/>
      <c r="L171" s="138"/>
      <c r="M171" s="138"/>
      <c r="N171" s="138"/>
      <c r="O171" s="138"/>
      <c r="P171" s="138"/>
      <c r="Q171" s="138"/>
      <c r="R171" s="138"/>
      <c r="S171" s="138"/>
      <c r="T171" s="138"/>
      <c r="U171" s="138"/>
      <c r="V171" s="138"/>
      <c r="W171" s="138"/>
      <c r="X171" s="138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</row>
    <row r="172" spans="1:60" outlineLevel="1" x14ac:dyDescent="0.2">
      <c r="A172" s="184">
        <f>A168+1</f>
        <v>58</v>
      </c>
      <c r="B172" s="214" t="s">
        <v>282</v>
      </c>
      <c r="C172" s="215" t="s">
        <v>284</v>
      </c>
      <c r="D172" s="186" t="s">
        <v>91</v>
      </c>
      <c r="E172" s="187">
        <v>135</v>
      </c>
      <c r="F172" s="188"/>
      <c r="G172" s="161">
        <f>ROUND(E172*F172,2)</f>
        <v>0</v>
      </c>
      <c r="H172" s="188">
        <v>143</v>
      </c>
      <c r="I172" s="161">
        <f>ROUND(E172*H172,2)</f>
        <v>19305</v>
      </c>
      <c r="J172" s="188">
        <v>0</v>
      </c>
      <c r="K172" s="161">
        <f>ROUND(E172*J172,2)</f>
        <v>0</v>
      </c>
      <c r="L172" s="161">
        <v>21</v>
      </c>
      <c r="M172" s="161">
        <f>G172*(1+L172/100)</f>
        <v>0</v>
      </c>
      <c r="N172" s="161">
        <v>5.4170000000000003E-2</v>
      </c>
      <c r="O172" s="161">
        <f>ROUND(E172*N172,2)</f>
        <v>7.31</v>
      </c>
      <c r="P172" s="161">
        <v>0</v>
      </c>
      <c r="Q172" s="161">
        <f>ROUND(E172*P172,2)</f>
        <v>0</v>
      </c>
      <c r="R172" s="161" t="s">
        <v>134</v>
      </c>
      <c r="S172" s="161" t="s">
        <v>161</v>
      </c>
      <c r="T172" s="161" t="s">
        <v>95</v>
      </c>
      <c r="U172" s="138"/>
      <c r="V172" s="138"/>
      <c r="W172" s="138"/>
      <c r="X172" s="138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</row>
    <row r="173" spans="1:60" outlineLevel="1" x14ac:dyDescent="0.2">
      <c r="A173" s="183"/>
      <c r="B173" s="165"/>
      <c r="C173" s="195"/>
      <c r="D173" s="196"/>
      <c r="E173" s="196"/>
      <c r="F173" s="196"/>
      <c r="G173" s="196"/>
      <c r="H173" s="138"/>
      <c r="I173" s="138"/>
      <c r="J173" s="138"/>
      <c r="K173" s="138"/>
      <c r="L173" s="138"/>
      <c r="M173" s="138"/>
      <c r="N173" s="138"/>
      <c r="O173" s="138"/>
      <c r="P173" s="138"/>
      <c r="Q173" s="138"/>
      <c r="R173" s="138"/>
      <c r="S173" s="138"/>
      <c r="T173" s="138"/>
      <c r="U173" s="138"/>
      <c r="V173" s="138"/>
      <c r="W173" s="138"/>
      <c r="X173" s="138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</row>
    <row r="174" spans="1:60" outlineLevel="1" x14ac:dyDescent="0.2">
      <c r="A174" s="184">
        <f>A172+1</f>
        <v>59</v>
      </c>
      <c r="B174" s="214" t="s">
        <v>291</v>
      </c>
      <c r="C174" s="215" t="s">
        <v>289</v>
      </c>
      <c r="D174" s="186" t="s">
        <v>91</v>
      </c>
      <c r="E174" s="187">
        <v>128</v>
      </c>
      <c r="F174" s="188"/>
      <c r="G174" s="161">
        <f>ROUND(E174*F174,2)</f>
        <v>0</v>
      </c>
      <c r="H174" s="188">
        <v>143</v>
      </c>
      <c r="I174" s="161">
        <f>ROUND(E174*H174,2)</f>
        <v>18304</v>
      </c>
      <c r="J174" s="188">
        <v>0</v>
      </c>
      <c r="K174" s="161">
        <f>ROUND(E174*J174,2)</f>
        <v>0</v>
      </c>
      <c r="L174" s="161">
        <v>21</v>
      </c>
      <c r="M174" s="161">
        <f>G174*(1+L174/100)</f>
        <v>0</v>
      </c>
      <c r="N174" s="161">
        <v>5.4170000000000003E-2</v>
      </c>
      <c r="O174" s="161">
        <f>ROUND(E174*N174,2)</f>
        <v>6.93</v>
      </c>
      <c r="P174" s="161">
        <v>0</v>
      </c>
      <c r="Q174" s="161">
        <f>ROUND(E174*P174,2)</f>
        <v>0</v>
      </c>
      <c r="R174" s="161" t="s">
        <v>134</v>
      </c>
      <c r="S174" s="161" t="s">
        <v>161</v>
      </c>
      <c r="T174" s="161" t="s">
        <v>95</v>
      </c>
      <c r="U174" s="138"/>
      <c r="V174" s="138"/>
      <c r="W174" s="138"/>
      <c r="X174" s="138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</row>
    <row r="175" spans="1:60" outlineLevel="1" x14ac:dyDescent="0.2">
      <c r="A175" s="183"/>
      <c r="B175" s="165"/>
      <c r="C175" s="195"/>
      <c r="D175" s="196"/>
      <c r="E175" s="196"/>
      <c r="F175" s="196"/>
      <c r="G175" s="196"/>
      <c r="H175" s="138"/>
      <c r="I175" s="138"/>
      <c r="J175" s="138"/>
      <c r="K175" s="138"/>
      <c r="L175" s="138"/>
      <c r="M175" s="138"/>
      <c r="N175" s="138"/>
      <c r="O175" s="138"/>
      <c r="P175" s="138"/>
      <c r="Q175" s="138"/>
      <c r="R175" s="138"/>
      <c r="S175" s="138"/>
      <c r="T175" s="138"/>
      <c r="U175" s="138"/>
      <c r="V175" s="138"/>
      <c r="W175" s="138"/>
      <c r="X175" s="138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</row>
    <row r="176" spans="1:60" outlineLevel="1" x14ac:dyDescent="0.2">
      <c r="A176" s="184">
        <f>A174+1</f>
        <v>60</v>
      </c>
      <c r="B176" s="214" t="s">
        <v>292</v>
      </c>
      <c r="C176" s="215" t="s">
        <v>285</v>
      </c>
      <c r="D176" s="186" t="s">
        <v>91</v>
      </c>
      <c r="E176" s="187">
        <v>12</v>
      </c>
      <c r="F176" s="188"/>
      <c r="G176" s="161">
        <f>ROUND(E176*F176,2)</f>
        <v>0</v>
      </c>
      <c r="H176" s="188">
        <v>143</v>
      </c>
      <c r="I176" s="161">
        <f>ROUND(E176*H176,2)</f>
        <v>1716</v>
      </c>
      <c r="J176" s="188">
        <v>0</v>
      </c>
      <c r="K176" s="161">
        <f>ROUND(E176*J176,2)</f>
        <v>0</v>
      </c>
      <c r="L176" s="161">
        <v>21</v>
      </c>
      <c r="M176" s="161">
        <f>G176*(1+L176/100)</f>
        <v>0</v>
      </c>
      <c r="N176" s="161">
        <v>5.4170000000000003E-2</v>
      </c>
      <c r="O176" s="161">
        <f>ROUND(E176*N176,2)</f>
        <v>0.65</v>
      </c>
      <c r="P176" s="161">
        <v>0</v>
      </c>
      <c r="Q176" s="161">
        <f>ROUND(E176*P176,2)</f>
        <v>0</v>
      </c>
      <c r="R176" s="161" t="s">
        <v>134</v>
      </c>
      <c r="S176" s="161" t="s">
        <v>161</v>
      </c>
      <c r="T176" s="161" t="s">
        <v>95</v>
      </c>
      <c r="U176" s="138"/>
      <c r="V176" s="138"/>
      <c r="W176" s="138"/>
      <c r="X176" s="138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</row>
    <row r="177" spans="1:60" outlineLevel="1" x14ac:dyDescent="0.2">
      <c r="A177" s="183"/>
      <c r="B177" s="165"/>
      <c r="C177" s="195"/>
      <c r="D177" s="196"/>
      <c r="E177" s="196"/>
      <c r="F177" s="196"/>
      <c r="G177" s="196"/>
      <c r="H177" s="138"/>
      <c r="I177" s="138"/>
      <c r="J177" s="138"/>
      <c r="K177" s="138"/>
      <c r="L177" s="138"/>
      <c r="M177" s="138"/>
      <c r="N177" s="138"/>
      <c r="O177" s="138"/>
      <c r="P177" s="138"/>
      <c r="Q177" s="138"/>
      <c r="R177" s="138"/>
      <c r="S177" s="138"/>
      <c r="T177" s="138"/>
      <c r="U177" s="138"/>
      <c r="V177" s="138"/>
      <c r="W177" s="138"/>
      <c r="X177" s="138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</row>
    <row r="178" spans="1:60" outlineLevel="1" x14ac:dyDescent="0.2">
      <c r="A178" s="184">
        <f>A176+1</f>
        <v>61</v>
      </c>
      <c r="B178" s="214" t="s">
        <v>449</v>
      </c>
      <c r="C178" s="215" t="s">
        <v>452</v>
      </c>
      <c r="D178" s="186" t="s">
        <v>91</v>
      </c>
      <c r="E178" s="187">
        <v>6</v>
      </c>
      <c r="F178" s="188"/>
      <c r="G178" s="161">
        <f>ROUND(E178*F178,2)</f>
        <v>0</v>
      </c>
      <c r="H178" s="188">
        <v>143</v>
      </c>
      <c r="I178" s="161">
        <f>ROUND(E178*H178,2)</f>
        <v>858</v>
      </c>
      <c r="J178" s="188">
        <v>0</v>
      </c>
      <c r="K178" s="161">
        <f>ROUND(E178*J178,2)</f>
        <v>0</v>
      </c>
      <c r="L178" s="161">
        <v>21</v>
      </c>
      <c r="M178" s="161">
        <f>G178*(1+L178/100)</f>
        <v>0</v>
      </c>
      <c r="N178" s="161">
        <v>5.4170000000000003E-2</v>
      </c>
      <c r="O178" s="161">
        <f>ROUND(E178*N178,2)</f>
        <v>0.33</v>
      </c>
      <c r="P178" s="161">
        <v>0</v>
      </c>
      <c r="Q178" s="161">
        <f>ROUND(E178*P178,2)</f>
        <v>0</v>
      </c>
      <c r="R178" s="161" t="s">
        <v>134</v>
      </c>
      <c r="S178" s="161" t="s">
        <v>161</v>
      </c>
      <c r="T178" s="161" t="s">
        <v>95</v>
      </c>
      <c r="U178" s="138"/>
      <c r="V178" s="138"/>
      <c r="W178" s="138"/>
      <c r="X178" s="138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</row>
    <row r="179" spans="1:60" outlineLevel="1" x14ac:dyDescent="0.2">
      <c r="A179" s="183"/>
      <c r="B179" s="165"/>
      <c r="C179" s="195"/>
      <c r="D179" s="196"/>
      <c r="E179" s="196"/>
      <c r="F179" s="196"/>
      <c r="G179" s="196"/>
      <c r="H179" s="138"/>
      <c r="I179" s="138"/>
      <c r="J179" s="138"/>
      <c r="K179" s="138"/>
      <c r="L179" s="138"/>
      <c r="M179" s="138"/>
      <c r="N179" s="138"/>
      <c r="O179" s="138"/>
      <c r="P179" s="138"/>
      <c r="Q179" s="138"/>
      <c r="R179" s="138"/>
      <c r="S179" s="138"/>
      <c r="T179" s="138"/>
      <c r="U179" s="138"/>
      <c r="V179" s="138"/>
      <c r="W179" s="138"/>
      <c r="X179" s="138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</row>
    <row r="180" spans="1:60" ht="22.5" outlineLevel="1" x14ac:dyDescent="0.2">
      <c r="A180" s="184">
        <f>A178+1</f>
        <v>62</v>
      </c>
      <c r="B180" s="185" t="s">
        <v>286</v>
      </c>
      <c r="C180" s="189" t="s">
        <v>287</v>
      </c>
      <c r="D180" s="186" t="s">
        <v>102</v>
      </c>
      <c r="E180" s="187">
        <v>10</v>
      </c>
      <c r="F180" s="188"/>
      <c r="G180" s="161">
        <f>ROUND(E180*F180,2)</f>
        <v>0</v>
      </c>
      <c r="H180" s="188">
        <v>320.33</v>
      </c>
      <c r="I180" s="161">
        <f>ROUND(E180*H180,2)</f>
        <v>3203.3</v>
      </c>
      <c r="J180" s="188">
        <v>128.16999999999999</v>
      </c>
      <c r="K180" s="161">
        <f>ROUND(E180*J180,2)</f>
        <v>1281.7</v>
      </c>
      <c r="L180" s="161">
        <v>21</v>
      </c>
      <c r="M180" s="161">
        <f>G180*(1+L180/100)</f>
        <v>0</v>
      </c>
      <c r="N180" s="161">
        <v>0.26980999999999999</v>
      </c>
      <c r="O180" s="161">
        <f>ROUND(E180*N180,2)</f>
        <v>2.7</v>
      </c>
      <c r="P180" s="161">
        <v>0</v>
      </c>
      <c r="Q180" s="161">
        <f>ROUND(E180*P180,2)</f>
        <v>0</v>
      </c>
      <c r="R180" s="161" t="s">
        <v>98</v>
      </c>
      <c r="S180" s="161" t="s">
        <v>161</v>
      </c>
      <c r="T180" s="161" t="s">
        <v>161</v>
      </c>
      <c r="U180" s="138"/>
      <c r="V180" s="138"/>
      <c r="W180" s="138"/>
      <c r="X180" s="138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</row>
    <row r="181" spans="1:60" outlineLevel="1" x14ac:dyDescent="0.2">
      <c r="A181" s="183"/>
      <c r="B181" s="165"/>
      <c r="C181" s="309" t="s">
        <v>135</v>
      </c>
      <c r="D181" s="310"/>
      <c r="E181" s="310"/>
      <c r="F181" s="310"/>
      <c r="G181" s="310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138"/>
      <c r="V181" s="138"/>
      <c r="W181" s="138"/>
      <c r="X181" s="138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</row>
    <row r="182" spans="1:60" outlineLevel="1" x14ac:dyDescent="0.2">
      <c r="A182" s="183"/>
      <c r="B182" s="165"/>
      <c r="C182" s="322"/>
      <c r="D182" s="323"/>
      <c r="E182" s="323"/>
      <c r="F182" s="323"/>
      <c r="G182" s="323"/>
      <c r="H182" s="138"/>
      <c r="I182" s="138"/>
      <c r="J182" s="138"/>
      <c r="K182" s="138"/>
      <c r="L182" s="138"/>
      <c r="M182" s="138"/>
      <c r="N182" s="138"/>
      <c r="O182" s="138"/>
      <c r="P182" s="138"/>
      <c r="Q182" s="138"/>
      <c r="R182" s="138"/>
      <c r="S182" s="138"/>
      <c r="T182" s="138"/>
      <c r="U182" s="138"/>
      <c r="V182" s="138"/>
      <c r="W182" s="138"/>
      <c r="X182" s="138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</row>
    <row r="183" spans="1:60" outlineLevel="1" x14ac:dyDescent="0.2">
      <c r="A183" s="184">
        <f>A180+1</f>
        <v>63</v>
      </c>
      <c r="B183" s="214" t="s">
        <v>290</v>
      </c>
      <c r="C183" s="215" t="s">
        <v>288</v>
      </c>
      <c r="D183" s="186" t="s">
        <v>91</v>
      </c>
      <c r="E183" s="187">
        <v>11</v>
      </c>
      <c r="F183" s="188"/>
      <c r="G183" s="161">
        <f>ROUND(E183*F183,2)</f>
        <v>0</v>
      </c>
      <c r="H183" s="188">
        <v>143</v>
      </c>
      <c r="I183" s="161">
        <f>ROUND(E183*H183,2)</f>
        <v>1573</v>
      </c>
      <c r="J183" s="188">
        <v>0</v>
      </c>
      <c r="K183" s="161">
        <f>ROUND(E183*J183,2)</f>
        <v>0</v>
      </c>
      <c r="L183" s="161">
        <v>21</v>
      </c>
      <c r="M183" s="161">
        <f>G183*(1+L183/100)</f>
        <v>0</v>
      </c>
      <c r="N183" s="161">
        <v>5.4170000000000003E-2</v>
      </c>
      <c r="O183" s="161">
        <f>ROUND(E183*N183,2)</f>
        <v>0.6</v>
      </c>
      <c r="P183" s="161">
        <v>0</v>
      </c>
      <c r="Q183" s="161">
        <f>ROUND(E183*P183,2)</f>
        <v>0</v>
      </c>
      <c r="R183" s="161" t="s">
        <v>134</v>
      </c>
      <c r="S183" s="161" t="s">
        <v>161</v>
      </c>
      <c r="T183" s="161" t="s">
        <v>95</v>
      </c>
      <c r="U183" s="138"/>
      <c r="V183" s="138"/>
      <c r="W183" s="138"/>
      <c r="X183" s="138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</row>
    <row r="184" spans="1:60" outlineLevel="1" x14ac:dyDescent="0.2">
      <c r="A184" s="183"/>
      <c r="B184" s="165"/>
      <c r="C184" s="195"/>
      <c r="D184" s="196"/>
      <c r="E184" s="196"/>
      <c r="F184" s="196"/>
      <c r="G184" s="196"/>
      <c r="H184" s="138"/>
      <c r="I184" s="138"/>
      <c r="J184" s="138"/>
      <c r="K184" s="138"/>
      <c r="L184" s="138"/>
      <c r="M184" s="138"/>
      <c r="N184" s="138"/>
      <c r="O184" s="138"/>
      <c r="P184" s="138"/>
      <c r="Q184" s="138"/>
      <c r="R184" s="138"/>
      <c r="S184" s="138"/>
      <c r="T184" s="138"/>
      <c r="U184" s="138"/>
      <c r="V184" s="138"/>
      <c r="W184" s="138"/>
      <c r="X184" s="138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</row>
    <row r="185" spans="1:60" outlineLevel="1" x14ac:dyDescent="0.2">
      <c r="A185" s="184">
        <f>A183+1</f>
        <v>64</v>
      </c>
      <c r="B185" s="185" t="s">
        <v>301</v>
      </c>
      <c r="C185" s="189" t="s">
        <v>299</v>
      </c>
      <c r="D185" s="186" t="s">
        <v>92</v>
      </c>
      <c r="E185" s="187">
        <f>E186</f>
        <v>100</v>
      </c>
      <c r="F185" s="188"/>
      <c r="G185" s="161">
        <f>ROUND(E185*F185,2)</f>
        <v>0</v>
      </c>
      <c r="H185" s="188">
        <v>143</v>
      </c>
      <c r="I185" s="161">
        <f>ROUND(E185*H185,2)</f>
        <v>14300</v>
      </c>
      <c r="J185" s="188">
        <v>0</v>
      </c>
      <c r="K185" s="161">
        <f>ROUND(E185*J185,2)</f>
        <v>0</v>
      </c>
      <c r="L185" s="161">
        <v>21</v>
      </c>
      <c r="M185" s="161">
        <f>G185*(1+L185/100)</f>
        <v>0</v>
      </c>
      <c r="N185" s="161">
        <v>5.4170000000000003E-2</v>
      </c>
      <c r="O185" s="161">
        <f>ROUND(E185*N185,2)</f>
        <v>5.42</v>
      </c>
      <c r="P185" s="161">
        <v>0</v>
      </c>
      <c r="Q185" s="161">
        <f>ROUND(E185*P185,2)</f>
        <v>0</v>
      </c>
      <c r="R185" s="161" t="s">
        <v>134</v>
      </c>
      <c r="S185" s="161" t="s">
        <v>161</v>
      </c>
      <c r="T185" s="161" t="s">
        <v>95</v>
      </c>
      <c r="U185" s="138"/>
      <c r="V185" s="138"/>
      <c r="W185" s="138"/>
      <c r="X185" s="138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</row>
    <row r="186" spans="1:60" outlineLevel="1" x14ac:dyDescent="0.2">
      <c r="A186" s="183"/>
      <c r="B186" s="165"/>
      <c r="C186" s="211" t="s">
        <v>300</v>
      </c>
      <c r="D186" s="212"/>
      <c r="E186" s="213">
        <v>100</v>
      </c>
      <c r="F186" s="210"/>
      <c r="G186" s="210"/>
      <c r="H186" s="190"/>
      <c r="I186" s="138"/>
      <c r="J186" s="190"/>
      <c r="K186" s="138"/>
      <c r="L186" s="138"/>
      <c r="M186" s="138"/>
      <c r="N186" s="138"/>
      <c r="O186" s="138"/>
      <c r="P186" s="138"/>
      <c r="Q186" s="138"/>
      <c r="R186" s="138"/>
      <c r="S186" s="138"/>
      <c r="T186" s="138"/>
      <c r="U186" s="138"/>
      <c r="V186" s="138"/>
      <c r="W186" s="138"/>
      <c r="X186" s="138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</row>
    <row r="187" spans="1:60" outlineLevel="1" x14ac:dyDescent="0.2">
      <c r="A187" s="183"/>
      <c r="B187" s="165"/>
      <c r="C187" s="195"/>
      <c r="D187" s="196"/>
      <c r="E187" s="196"/>
      <c r="F187" s="196"/>
      <c r="G187" s="196"/>
      <c r="H187" s="138"/>
      <c r="I187" s="138"/>
      <c r="J187" s="138"/>
      <c r="K187" s="138"/>
      <c r="L187" s="138"/>
      <c r="M187" s="138"/>
      <c r="N187" s="138"/>
      <c r="O187" s="138"/>
      <c r="P187" s="138"/>
      <c r="Q187" s="138"/>
      <c r="R187" s="138"/>
      <c r="S187" s="138"/>
      <c r="T187" s="138"/>
      <c r="U187" s="138"/>
      <c r="V187" s="138"/>
      <c r="W187" s="138"/>
      <c r="X187" s="138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</row>
    <row r="188" spans="1:60" outlineLevel="1" x14ac:dyDescent="0.2">
      <c r="A188" s="184">
        <f>A185+1</f>
        <v>65</v>
      </c>
      <c r="B188" s="185" t="s">
        <v>295</v>
      </c>
      <c r="C188" s="189" t="s">
        <v>294</v>
      </c>
      <c r="D188" s="186" t="s">
        <v>102</v>
      </c>
      <c r="E188" s="187">
        <f>E189</f>
        <v>236.5</v>
      </c>
      <c r="F188" s="188"/>
      <c r="G188" s="161">
        <f>ROUND(E188*F188,2)</f>
        <v>0</v>
      </c>
      <c r="H188" s="188">
        <v>46.75</v>
      </c>
      <c r="I188" s="161">
        <f>ROUND(E188*H188,2)</f>
        <v>11056.38</v>
      </c>
      <c r="J188" s="188">
        <v>31.45</v>
      </c>
      <c r="K188" s="161">
        <f>ROUND(E188*J188,2)</f>
        <v>7437.93</v>
      </c>
      <c r="L188" s="161">
        <v>21</v>
      </c>
      <c r="M188" s="161">
        <f>G188*(1+L188/100)</f>
        <v>0</v>
      </c>
      <c r="N188" s="161">
        <v>0</v>
      </c>
      <c r="O188" s="161">
        <f>ROUND(E188*N188,2)</f>
        <v>0</v>
      </c>
      <c r="P188" s="161">
        <v>0</v>
      </c>
      <c r="Q188" s="161">
        <f>ROUND(E188*P188,2)</f>
        <v>0</v>
      </c>
      <c r="R188" s="161" t="s">
        <v>98</v>
      </c>
      <c r="S188" s="161" t="s">
        <v>161</v>
      </c>
      <c r="T188" s="161" t="s">
        <v>161</v>
      </c>
      <c r="U188" s="138"/>
      <c r="V188" s="138"/>
      <c r="W188" s="138"/>
      <c r="X188" s="138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</row>
    <row r="189" spans="1:60" outlineLevel="1" x14ac:dyDescent="0.2">
      <c r="A189" s="183"/>
      <c r="B189" s="165"/>
      <c r="C189" s="211" t="s">
        <v>298</v>
      </c>
      <c r="D189" s="212"/>
      <c r="E189" s="213">
        <f>109*2+5.5+13</f>
        <v>236.5</v>
      </c>
      <c r="F189" s="210"/>
      <c r="G189" s="210"/>
      <c r="H189" s="190"/>
      <c r="I189" s="138"/>
      <c r="J189" s="190"/>
      <c r="K189" s="138"/>
      <c r="L189" s="138"/>
      <c r="M189" s="138"/>
      <c r="N189" s="138"/>
      <c r="O189" s="138"/>
      <c r="P189" s="138"/>
      <c r="Q189" s="138"/>
      <c r="R189" s="138"/>
      <c r="S189" s="138"/>
      <c r="T189" s="138"/>
      <c r="U189" s="138"/>
      <c r="V189" s="138"/>
      <c r="W189" s="138"/>
      <c r="X189" s="138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</row>
    <row r="190" spans="1:60" outlineLevel="1" x14ac:dyDescent="0.2">
      <c r="A190" s="183"/>
      <c r="B190" s="165"/>
      <c r="C190" s="195"/>
      <c r="D190" s="196"/>
      <c r="E190" s="196"/>
      <c r="F190" s="196"/>
      <c r="G190" s="196"/>
      <c r="H190" s="138"/>
      <c r="I190" s="138"/>
      <c r="J190" s="138"/>
      <c r="K190" s="138"/>
      <c r="L190" s="138"/>
      <c r="M190" s="138"/>
      <c r="N190" s="138"/>
      <c r="O190" s="138"/>
      <c r="P190" s="138"/>
      <c r="Q190" s="138"/>
      <c r="R190" s="138"/>
      <c r="S190" s="138"/>
      <c r="T190" s="138"/>
      <c r="U190" s="138"/>
      <c r="V190" s="138"/>
      <c r="W190" s="138"/>
      <c r="X190" s="138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</row>
    <row r="191" spans="1:60" outlineLevel="1" x14ac:dyDescent="0.2">
      <c r="A191" s="184">
        <f>A188+1</f>
        <v>66</v>
      </c>
      <c r="B191" s="185" t="s">
        <v>296</v>
      </c>
      <c r="C191" s="189" t="s">
        <v>297</v>
      </c>
      <c r="D191" s="186" t="s">
        <v>102</v>
      </c>
      <c r="E191" s="187">
        <f>E188</f>
        <v>236.5</v>
      </c>
      <c r="F191" s="188"/>
      <c r="G191" s="161">
        <f>ROUND(E191*F191,2)</f>
        <v>0</v>
      </c>
      <c r="H191" s="188">
        <v>46.75</v>
      </c>
      <c r="I191" s="161">
        <f>ROUND(E191*H191,2)</f>
        <v>11056.38</v>
      </c>
      <c r="J191" s="188">
        <v>31.45</v>
      </c>
      <c r="K191" s="161">
        <f>ROUND(E191*J191,2)</f>
        <v>7437.93</v>
      </c>
      <c r="L191" s="161">
        <v>21</v>
      </c>
      <c r="M191" s="161">
        <f>G191*(1+L191/100)</f>
        <v>0</v>
      </c>
      <c r="N191" s="161">
        <v>0</v>
      </c>
      <c r="O191" s="161">
        <f>ROUND(E191*N191,2)</f>
        <v>0</v>
      </c>
      <c r="P191" s="161">
        <v>0</v>
      </c>
      <c r="Q191" s="161">
        <f>ROUND(E191*P191,2)</f>
        <v>0</v>
      </c>
      <c r="R191" s="161" t="s">
        <v>98</v>
      </c>
      <c r="S191" s="161" t="s">
        <v>161</v>
      </c>
      <c r="T191" s="161" t="s">
        <v>161</v>
      </c>
      <c r="U191" s="138"/>
      <c r="V191" s="138"/>
      <c r="W191" s="138"/>
      <c r="X191" s="138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</row>
    <row r="192" spans="1:60" outlineLevel="1" x14ac:dyDescent="0.2">
      <c r="A192" s="183"/>
      <c r="B192" s="165"/>
      <c r="C192" s="195"/>
      <c r="D192" s="196"/>
      <c r="E192" s="196"/>
      <c r="F192" s="196"/>
      <c r="G192" s="196"/>
      <c r="H192" s="138"/>
      <c r="I192" s="138"/>
      <c r="J192" s="138"/>
      <c r="K192" s="138"/>
      <c r="L192" s="138"/>
      <c r="M192" s="138"/>
      <c r="N192" s="138"/>
      <c r="O192" s="138"/>
      <c r="P192" s="138"/>
      <c r="Q192" s="138"/>
      <c r="R192" s="138"/>
      <c r="S192" s="138"/>
      <c r="T192" s="138"/>
      <c r="U192" s="138"/>
      <c r="V192" s="138"/>
      <c r="W192" s="138"/>
      <c r="X192" s="138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</row>
    <row r="193" spans="1:60" outlineLevel="1" x14ac:dyDescent="0.2">
      <c r="A193" s="184">
        <f>A191+1</f>
        <v>67</v>
      </c>
      <c r="B193" s="185" t="s">
        <v>136</v>
      </c>
      <c r="C193" s="189" t="s">
        <v>137</v>
      </c>
      <c r="D193" s="186" t="s">
        <v>102</v>
      </c>
      <c r="E193" s="187">
        <v>13</v>
      </c>
      <c r="F193" s="188"/>
      <c r="G193" s="161">
        <f>ROUND(E193*F193,2)</f>
        <v>0</v>
      </c>
      <c r="H193" s="188">
        <v>46.75</v>
      </c>
      <c r="I193" s="161">
        <f>ROUND(E193*H193,2)</f>
        <v>607.75</v>
      </c>
      <c r="J193" s="188">
        <v>31.45</v>
      </c>
      <c r="K193" s="161">
        <f>ROUND(E193*J193,2)</f>
        <v>408.85</v>
      </c>
      <c r="L193" s="161">
        <v>21</v>
      </c>
      <c r="M193" s="161">
        <f>G193*(1+L193/100)</f>
        <v>0</v>
      </c>
      <c r="N193" s="161">
        <v>0</v>
      </c>
      <c r="O193" s="161">
        <f>ROUND(E193*N193,2)</f>
        <v>0</v>
      </c>
      <c r="P193" s="161">
        <v>0</v>
      </c>
      <c r="Q193" s="161">
        <f>ROUND(E193*P193,2)</f>
        <v>0</v>
      </c>
      <c r="R193" s="161" t="s">
        <v>98</v>
      </c>
      <c r="S193" s="161" t="s">
        <v>161</v>
      </c>
      <c r="T193" s="161" t="s">
        <v>161</v>
      </c>
      <c r="U193" s="138"/>
      <c r="V193" s="138"/>
      <c r="W193" s="138"/>
      <c r="X193" s="138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</row>
    <row r="194" spans="1:60" outlineLevel="1" x14ac:dyDescent="0.2">
      <c r="A194" s="183"/>
      <c r="B194" s="165"/>
      <c r="C194" s="309" t="s">
        <v>107</v>
      </c>
      <c r="D194" s="310"/>
      <c r="E194" s="310"/>
      <c r="F194" s="310"/>
      <c r="G194" s="310"/>
      <c r="H194" s="138"/>
      <c r="I194" s="138"/>
      <c r="J194" s="138"/>
      <c r="K194" s="138"/>
      <c r="L194" s="138"/>
      <c r="M194" s="138"/>
      <c r="N194" s="138"/>
      <c r="O194" s="138"/>
      <c r="P194" s="138"/>
      <c r="Q194" s="138"/>
      <c r="R194" s="138"/>
      <c r="S194" s="138"/>
      <c r="T194" s="138"/>
      <c r="U194" s="138"/>
      <c r="V194" s="138"/>
      <c r="W194" s="138"/>
      <c r="X194" s="138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</row>
    <row r="195" spans="1:60" outlineLevel="1" x14ac:dyDescent="0.2">
      <c r="A195" s="183"/>
      <c r="B195" s="165"/>
      <c r="C195" s="322"/>
      <c r="D195" s="323"/>
      <c r="E195" s="323"/>
      <c r="F195" s="323"/>
      <c r="G195" s="323"/>
      <c r="H195" s="138"/>
      <c r="I195" s="138"/>
      <c r="J195" s="138"/>
      <c r="K195" s="138"/>
      <c r="L195" s="138"/>
      <c r="M195" s="138"/>
      <c r="N195" s="138"/>
      <c r="O195" s="138"/>
      <c r="P195" s="138"/>
      <c r="Q195" s="138"/>
      <c r="R195" s="138"/>
      <c r="S195" s="138"/>
      <c r="T195" s="138"/>
      <c r="U195" s="138"/>
      <c r="V195" s="138"/>
      <c r="W195" s="138"/>
      <c r="X195" s="138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</row>
    <row r="196" spans="1:60" outlineLevel="1" x14ac:dyDescent="0.2">
      <c r="A196" s="140" t="s">
        <v>88</v>
      </c>
      <c r="B196" s="141" t="s">
        <v>120</v>
      </c>
      <c r="C196" s="147" t="s">
        <v>121</v>
      </c>
      <c r="D196" s="142"/>
      <c r="E196" s="143"/>
      <c r="F196" s="144"/>
      <c r="G196" s="144">
        <f>G197</f>
        <v>0</v>
      </c>
      <c r="H196" s="144"/>
      <c r="I196" s="144" t="e">
        <f>SUM(#REF!)</f>
        <v>#REF!</v>
      </c>
      <c r="J196" s="144"/>
      <c r="K196" s="144" t="e">
        <f>SUM(#REF!)</f>
        <v>#REF!</v>
      </c>
      <c r="L196" s="144"/>
      <c r="M196" s="144">
        <f>M197</f>
        <v>0</v>
      </c>
      <c r="N196" s="144"/>
      <c r="O196" s="144" t="e">
        <f>SUM(#REF!)</f>
        <v>#REF!</v>
      </c>
      <c r="P196" s="144"/>
      <c r="Q196" s="144" t="e">
        <f>SUM(#REF!)</f>
        <v>#REF!</v>
      </c>
      <c r="R196" s="144"/>
      <c r="S196" s="144"/>
      <c r="T196" s="145"/>
      <c r="U196" s="138"/>
      <c r="V196" s="138"/>
      <c r="W196" s="138"/>
      <c r="X196" s="138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</row>
    <row r="197" spans="1:60" outlineLevel="1" x14ac:dyDescent="0.2">
      <c r="A197" s="184">
        <f>A193+1</f>
        <v>68</v>
      </c>
      <c r="B197" s="185" t="s">
        <v>138</v>
      </c>
      <c r="C197" s="189" t="s">
        <v>139</v>
      </c>
      <c r="D197" s="186" t="s">
        <v>91</v>
      </c>
      <c r="E197" s="187">
        <v>15</v>
      </c>
      <c r="F197" s="188"/>
      <c r="G197" s="161">
        <f>ROUND(E197*F197,2)</f>
        <v>0</v>
      </c>
      <c r="H197" s="188">
        <v>585.16999999999996</v>
      </c>
      <c r="I197" s="161">
        <f>ROUND(E197*H197,2)</f>
        <v>8777.5499999999993</v>
      </c>
      <c r="J197" s="188">
        <v>672.83</v>
      </c>
      <c r="K197" s="161">
        <f>ROUND(E197*J197,2)</f>
        <v>10092.450000000001</v>
      </c>
      <c r="L197" s="161">
        <v>21</v>
      </c>
      <c r="M197" s="161">
        <f>G197*(1+L197/100)</f>
        <v>0</v>
      </c>
      <c r="N197" s="161">
        <v>0.31590000000000001</v>
      </c>
      <c r="O197" s="161">
        <f>ROUND(E197*N197,2)</f>
        <v>4.74</v>
      </c>
      <c r="P197" s="161">
        <v>0</v>
      </c>
      <c r="Q197" s="161">
        <f>ROUND(E197*P197,2)</f>
        <v>0</v>
      </c>
      <c r="R197" s="161" t="s">
        <v>98</v>
      </c>
      <c r="S197" s="161" t="s">
        <v>161</v>
      </c>
      <c r="T197" s="161" t="s">
        <v>161</v>
      </c>
      <c r="U197" s="138"/>
      <c r="V197" s="138"/>
      <c r="W197" s="138"/>
      <c r="X197" s="138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</row>
    <row r="198" spans="1:60" ht="34.15" customHeight="1" outlineLevel="1" x14ac:dyDescent="0.2">
      <c r="A198" s="183"/>
      <c r="B198" s="165"/>
      <c r="C198" s="309" t="s">
        <v>140</v>
      </c>
      <c r="D198" s="310"/>
      <c r="E198" s="310"/>
      <c r="F198" s="310"/>
      <c r="G198" s="310"/>
      <c r="H198" s="138"/>
      <c r="I198" s="138"/>
      <c r="J198" s="138"/>
      <c r="K198" s="138"/>
      <c r="L198" s="138"/>
      <c r="M198" s="138"/>
      <c r="N198" s="138"/>
      <c r="O198" s="138"/>
      <c r="P198" s="138"/>
      <c r="Q198" s="138"/>
      <c r="R198" s="138"/>
      <c r="S198" s="138"/>
      <c r="T198" s="138"/>
      <c r="U198" s="138"/>
      <c r="V198" s="138"/>
      <c r="W198" s="138"/>
      <c r="X198" s="138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</row>
    <row r="199" spans="1:60" outlineLevel="1" x14ac:dyDescent="0.2">
      <c r="A199" s="183"/>
      <c r="B199" s="165"/>
      <c r="C199" s="195"/>
      <c r="D199" s="195"/>
      <c r="E199" s="195"/>
      <c r="F199" s="195"/>
      <c r="G199" s="195"/>
      <c r="H199" s="138"/>
      <c r="I199" s="138"/>
      <c r="J199" s="138"/>
      <c r="K199" s="138"/>
      <c r="L199" s="138"/>
      <c r="M199" s="138"/>
      <c r="N199" s="138"/>
      <c r="O199" s="138"/>
      <c r="P199" s="138"/>
      <c r="Q199" s="138"/>
      <c r="R199" s="138"/>
      <c r="S199" s="138"/>
      <c r="T199" s="138"/>
      <c r="U199" s="138"/>
      <c r="V199" s="138"/>
      <c r="W199" s="138"/>
      <c r="X199" s="138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</row>
    <row r="200" spans="1:60" outlineLevel="1" x14ac:dyDescent="0.2">
      <c r="A200" s="140" t="s">
        <v>88</v>
      </c>
      <c r="B200" s="141" t="s">
        <v>141</v>
      </c>
      <c r="C200" s="147" t="s">
        <v>142</v>
      </c>
      <c r="D200" s="142"/>
      <c r="E200" s="143"/>
      <c r="F200" s="144"/>
      <c r="G200" s="144">
        <f>G201</f>
        <v>0</v>
      </c>
      <c r="H200" s="144"/>
      <c r="I200" s="144" t="e">
        <f>SUM(#REF!)</f>
        <v>#REF!</v>
      </c>
      <c r="J200" s="144"/>
      <c r="K200" s="144" t="e">
        <f>SUM(#REF!)</f>
        <v>#REF!</v>
      </c>
      <c r="L200" s="144"/>
      <c r="M200" s="144">
        <f>M201</f>
        <v>0</v>
      </c>
      <c r="N200" s="144"/>
      <c r="O200" s="144" t="e">
        <f>SUM(#REF!)</f>
        <v>#REF!</v>
      </c>
      <c r="P200" s="144"/>
      <c r="Q200" s="144" t="e">
        <f>SUM(#REF!)</f>
        <v>#REF!</v>
      </c>
      <c r="R200" s="144"/>
      <c r="S200" s="144"/>
      <c r="T200" s="145"/>
      <c r="U200" s="138"/>
      <c r="V200" s="138"/>
      <c r="W200" s="138"/>
      <c r="X200" s="138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</row>
    <row r="201" spans="1:60" outlineLevel="1" x14ac:dyDescent="0.2">
      <c r="A201" s="184">
        <f>A197+1</f>
        <v>69</v>
      </c>
      <c r="B201" s="185" t="s">
        <v>143</v>
      </c>
      <c r="C201" s="189" t="s">
        <v>302</v>
      </c>
      <c r="D201" s="186" t="s">
        <v>91</v>
      </c>
      <c r="E201" s="187">
        <v>3</v>
      </c>
      <c r="F201" s="188"/>
      <c r="G201" s="161">
        <f>E201*F201</f>
        <v>0</v>
      </c>
      <c r="H201" s="197">
        <v>339.99</v>
      </c>
      <c r="I201" s="161">
        <v>679.98</v>
      </c>
      <c r="J201" s="197">
        <v>352.01</v>
      </c>
      <c r="K201" s="161">
        <v>704.02</v>
      </c>
      <c r="L201" s="161">
        <v>21</v>
      </c>
      <c r="M201" s="161">
        <f>G201*1.21</f>
        <v>0</v>
      </c>
      <c r="N201" s="161">
        <v>0.25080000000000002</v>
      </c>
      <c r="O201" s="161">
        <v>0.5</v>
      </c>
      <c r="P201" s="161">
        <v>0</v>
      </c>
      <c r="Q201" s="161">
        <v>0</v>
      </c>
      <c r="R201" s="161" t="s">
        <v>98</v>
      </c>
      <c r="S201" s="161" t="s">
        <v>161</v>
      </c>
      <c r="T201" s="161" t="s">
        <v>161</v>
      </c>
      <c r="U201" s="138"/>
      <c r="V201" s="138"/>
      <c r="W201" s="138"/>
      <c r="X201" s="138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</row>
    <row r="202" spans="1:60" outlineLevel="1" x14ac:dyDescent="0.2">
      <c r="A202" s="26"/>
      <c r="B202" s="199"/>
      <c r="C202" s="322"/>
      <c r="D202" s="323"/>
      <c r="E202" s="323"/>
      <c r="F202" s="323"/>
      <c r="G202" s="323"/>
      <c r="H202" s="139"/>
      <c r="I202" s="139"/>
      <c r="J202" s="139"/>
      <c r="K202" s="139"/>
      <c r="L202" s="200"/>
      <c r="M202" s="200"/>
      <c r="N202" s="200"/>
      <c r="O202" s="200"/>
      <c r="P202" s="200"/>
      <c r="Q202" s="200"/>
      <c r="R202" s="200"/>
      <c r="S202" s="201"/>
      <c r="T202" s="201"/>
      <c r="U202" s="138"/>
      <c r="V202" s="138"/>
      <c r="W202" s="138"/>
      <c r="X202" s="138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</row>
    <row r="203" spans="1:60" outlineLevel="1" x14ac:dyDescent="0.2">
      <c r="A203" s="140" t="s">
        <v>88</v>
      </c>
      <c r="B203" s="141" t="s">
        <v>144</v>
      </c>
      <c r="C203" s="147" t="s">
        <v>145</v>
      </c>
      <c r="D203" s="142"/>
      <c r="E203" s="143"/>
      <c r="F203" s="144"/>
      <c r="G203" s="144">
        <f>SUMIF(AG204:AG215,"&lt;&gt;NOR",G204:G215)</f>
        <v>0</v>
      </c>
      <c r="H203" s="144"/>
      <c r="I203" s="144">
        <f>SUM(I204:I215)</f>
        <v>0</v>
      </c>
      <c r="J203" s="144"/>
      <c r="K203" s="144">
        <f>SUM(K204:K215)</f>
        <v>95821.209999999992</v>
      </c>
      <c r="L203" s="144"/>
      <c r="M203" s="144">
        <f>SUM(M204:M215)</f>
        <v>0</v>
      </c>
      <c r="N203" s="144"/>
      <c r="O203" s="144">
        <f>SUM(O204:O215)</f>
        <v>0</v>
      </c>
      <c r="P203" s="144"/>
      <c r="Q203" s="144">
        <f>SUM(Q204:Q215)</f>
        <v>0</v>
      </c>
      <c r="R203" s="144"/>
      <c r="S203" s="144"/>
      <c r="T203" s="145"/>
      <c r="U203" s="138"/>
      <c r="V203" s="138"/>
      <c r="W203" s="138"/>
      <c r="X203" s="138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</row>
    <row r="204" spans="1:60" outlineLevel="1" x14ac:dyDescent="0.2">
      <c r="A204" s="184">
        <f>A201+1</f>
        <v>70</v>
      </c>
      <c r="B204" s="185" t="s">
        <v>146</v>
      </c>
      <c r="C204" s="189" t="s">
        <v>147</v>
      </c>
      <c r="D204" s="186" t="s">
        <v>106</v>
      </c>
      <c r="E204" s="187">
        <f>E183*0.08*0.25*2+E176*0.15*0.25*2+E174*0.15*0.15*2+E172*0.15*0.25*2+12*0.4*0.5*2*0.75+E106*0.08*2+E104*0.08*2+E98*0.06*2+E96*0.06*2+5*0.8</f>
        <v>81.887400000000014</v>
      </c>
      <c r="F204" s="188"/>
      <c r="G204" s="161">
        <f>ROUND(E204*F204,2)</f>
        <v>0</v>
      </c>
      <c r="H204" s="188">
        <v>0</v>
      </c>
      <c r="I204" s="161">
        <f>ROUND(E204*H204,2)</f>
        <v>0</v>
      </c>
      <c r="J204" s="188">
        <v>225.5</v>
      </c>
      <c r="K204" s="161">
        <f>ROUND(E204*J204,2)</f>
        <v>18465.61</v>
      </c>
      <c r="L204" s="161">
        <v>21</v>
      </c>
      <c r="M204" s="161">
        <f>G204*(1+L204/100)</f>
        <v>0</v>
      </c>
      <c r="N204" s="161">
        <v>0</v>
      </c>
      <c r="O204" s="161">
        <f>ROUND(E204*N204,2)</f>
        <v>0</v>
      </c>
      <c r="P204" s="161">
        <v>0</v>
      </c>
      <c r="Q204" s="161">
        <f>ROUND(E204*P204,2)</f>
        <v>0</v>
      </c>
      <c r="R204" s="161" t="s">
        <v>98</v>
      </c>
      <c r="S204" s="161" t="s">
        <v>161</v>
      </c>
      <c r="T204" s="161" t="s">
        <v>161</v>
      </c>
      <c r="U204" s="138"/>
      <c r="V204" s="138"/>
      <c r="W204" s="138"/>
      <c r="X204" s="138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</row>
    <row r="205" spans="1:60" ht="33.75" outlineLevel="1" x14ac:dyDescent="0.2">
      <c r="A205" s="183"/>
      <c r="B205" s="165"/>
      <c r="C205" s="208" t="s">
        <v>303</v>
      </c>
      <c r="D205" s="209"/>
      <c r="E205" s="209"/>
      <c r="F205" s="209"/>
      <c r="G205" s="209"/>
      <c r="H205" s="190"/>
      <c r="I205" s="138"/>
      <c r="J205" s="190"/>
      <c r="K205" s="138"/>
      <c r="L205" s="138"/>
      <c r="M205" s="138"/>
      <c r="N205" s="138"/>
      <c r="O205" s="138"/>
      <c r="P205" s="138"/>
      <c r="Q205" s="138"/>
      <c r="R205" s="138"/>
      <c r="S205" s="138"/>
      <c r="T205" s="138"/>
      <c r="U205" s="138"/>
      <c r="V205" s="138"/>
      <c r="W205" s="138"/>
      <c r="X205" s="138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</row>
    <row r="206" spans="1:60" outlineLevel="1" x14ac:dyDescent="0.2">
      <c r="A206" s="183"/>
      <c r="B206" s="165"/>
      <c r="C206" s="211" t="s">
        <v>312</v>
      </c>
      <c r="D206" s="212"/>
      <c r="E206" s="213">
        <f>E204</f>
        <v>81.887400000000014</v>
      </c>
      <c r="F206" s="209"/>
      <c r="G206" s="209"/>
      <c r="H206" s="190"/>
      <c r="I206" s="138"/>
      <c r="J206" s="190"/>
      <c r="K206" s="138"/>
      <c r="L206" s="138"/>
      <c r="M206" s="138"/>
      <c r="N206" s="138"/>
      <c r="O206" s="138"/>
      <c r="P206" s="138"/>
      <c r="Q206" s="138"/>
      <c r="R206" s="138"/>
      <c r="S206" s="138"/>
      <c r="T206" s="138"/>
      <c r="U206" s="138"/>
      <c r="V206" s="138"/>
      <c r="W206" s="138"/>
      <c r="X206" s="138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</row>
    <row r="207" spans="1:60" outlineLevel="1" x14ac:dyDescent="0.2">
      <c r="A207" s="183"/>
      <c r="B207" s="165"/>
      <c r="C207" s="322"/>
      <c r="D207" s="323"/>
      <c r="E207" s="323"/>
      <c r="F207" s="323"/>
      <c r="G207" s="323"/>
      <c r="H207" s="138"/>
      <c r="I207" s="138"/>
      <c r="J207" s="138"/>
      <c r="K207" s="138"/>
      <c r="L207" s="138"/>
      <c r="M207" s="138"/>
      <c r="N207" s="138"/>
      <c r="O207" s="138"/>
      <c r="P207" s="138"/>
      <c r="Q207" s="138"/>
      <c r="R207" s="138"/>
      <c r="S207" s="138"/>
      <c r="T207" s="138"/>
      <c r="U207" s="138"/>
      <c r="V207" s="138"/>
      <c r="W207" s="138"/>
      <c r="X207" s="138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</row>
    <row r="208" spans="1:60" outlineLevel="1" x14ac:dyDescent="0.2">
      <c r="A208" s="184">
        <f>A204+1</f>
        <v>71</v>
      </c>
      <c r="B208" s="185" t="s">
        <v>148</v>
      </c>
      <c r="C208" s="189" t="s">
        <v>149</v>
      </c>
      <c r="D208" s="186" t="s">
        <v>106</v>
      </c>
      <c r="E208" s="187">
        <f>E74*0.05*1.9+E77*0.1*1.9+E80*0.15*1.9+E83*0.15*1.9+E86*0.35*2+E56</f>
        <v>784.07499999999993</v>
      </c>
      <c r="F208" s="188"/>
      <c r="G208" s="161">
        <f>ROUND(E208*F208,2)</f>
        <v>0</v>
      </c>
      <c r="H208" s="188">
        <v>0</v>
      </c>
      <c r="I208" s="161">
        <f>ROUND(E208*H208,2)</f>
        <v>0</v>
      </c>
      <c r="J208" s="188">
        <v>71.2</v>
      </c>
      <c r="K208" s="161">
        <f>ROUND(E208*J208,2)</f>
        <v>55826.14</v>
      </c>
      <c r="L208" s="161">
        <v>21</v>
      </c>
      <c r="M208" s="161">
        <f>G208*(1+L208/100)</f>
        <v>0</v>
      </c>
      <c r="N208" s="161">
        <v>0</v>
      </c>
      <c r="O208" s="161">
        <f>ROUND(E208*N208,2)</f>
        <v>0</v>
      </c>
      <c r="P208" s="161">
        <v>0</v>
      </c>
      <c r="Q208" s="161">
        <f>ROUND(E208*P208,2)</f>
        <v>0</v>
      </c>
      <c r="R208" s="161" t="s">
        <v>98</v>
      </c>
      <c r="S208" s="161" t="s">
        <v>161</v>
      </c>
      <c r="T208" s="161" t="s">
        <v>161</v>
      </c>
      <c r="U208" s="138"/>
      <c r="V208" s="138"/>
      <c r="W208" s="138"/>
      <c r="X208" s="138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</row>
    <row r="209" spans="1:60" ht="33.75" outlineLevel="1" x14ac:dyDescent="0.2">
      <c r="A209" s="183"/>
      <c r="B209" s="165"/>
      <c r="C209" s="208" t="s">
        <v>303</v>
      </c>
      <c r="D209" s="209"/>
      <c r="E209" s="209"/>
      <c r="F209" s="209"/>
      <c r="G209" s="209"/>
      <c r="H209" s="190"/>
      <c r="I209" s="138"/>
      <c r="J209" s="190"/>
      <c r="K209" s="138"/>
      <c r="L209" s="138"/>
      <c r="M209" s="138"/>
      <c r="N209" s="138"/>
      <c r="O209" s="138"/>
      <c r="P209" s="138"/>
      <c r="Q209" s="138"/>
      <c r="R209" s="138"/>
      <c r="S209" s="138"/>
      <c r="T209" s="138"/>
      <c r="U209" s="138"/>
      <c r="V209" s="138"/>
      <c r="W209" s="138"/>
      <c r="X209" s="138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</row>
    <row r="210" spans="1:60" outlineLevel="1" x14ac:dyDescent="0.2">
      <c r="A210" s="183"/>
      <c r="B210" s="165"/>
      <c r="C210" s="211" t="s">
        <v>313</v>
      </c>
      <c r="D210" s="212"/>
      <c r="E210" s="213">
        <f>E208</f>
        <v>784.07499999999993</v>
      </c>
      <c r="F210" s="209"/>
      <c r="G210" s="209"/>
      <c r="H210" s="190"/>
      <c r="I210" s="138"/>
      <c r="J210" s="190"/>
      <c r="K210" s="138"/>
      <c r="L210" s="138"/>
      <c r="M210" s="138"/>
      <c r="N210" s="138"/>
      <c r="O210" s="138"/>
      <c r="P210" s="138"/>
      <c r="Q210" s="138"/>
      <c r="R210" s="138"/>
      <c r="S210" s="138"/>
      <c r="T210" s="138"/>
      <c r="U210" s="138"/>
      <c r="V210" s="138"/>
      <c r="W210" s="138"/>
      <c r="X210" s="138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</row>
    <row r="211" spans="1:60" outlineLevel="1" x14ac:dyDescent="0.2">
      <c r="A211" s="183"/>
      <c r="B211" s="165"/>
      <c r="C211" s="195"/>
      <c r="D211" s="196"/>
      <c r="E211" s="196"/>
      <c r="F211" s="196"/>
      <c r="G211" s="196"/>
      <c r="H211" s="138"/>
      <c r="I211" s="138"/>
      <c r="J211" s="138"/>
      <c r="K211" s="138"/>
      <c r="L211" s="138"/>
      <c r="M211" s="138"/>
      <c r="N211" s="138"/>
      <c r="O211" s="138"/>
      <c r="P211" s="138"/>
      <c r="Q211" s="138"/>
      <c r="R211" s="138"/>
      <c r="S211" s="138"/>
      <c r="T211" s="138"/>
      <c r="U211" s="138"/>
      <c r="V211" s="138"/>
      <c r="W211" s="138"/>
      <c r="X211" s="138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</row>
    <row r="212" spans="1:60" outlineLevel="1" x14ac:dyDescent="0.2">
      <c r="A212" s="184">
        <f>A208+1</f>
        <v>72</v>
      </c>
      <c r="B212" s="185" t="s">
        <v>305</v>
      </c>
      <c r="C212" s="189" t="s">
        <v>304</v>
      </c>
      <c r="D212" s="186" t="s">
        <v>106</v>
      </c>
      <c r="E212" s="187">
        <f>E214</f>
        <v>302.38</v>
      </c>
      <c r="F212" s="188"/>
      <c r="G212" s="161">
        <f>ROUND(E212*F212,2)</f>
        <v>0</v>
      </c>
      <c r="H212" s="188">
        <v>0</v>
      </c>
      <c r="I212" s="161">
        <f>ROUND(E212*H212,2)</f>
        <v>0</v>
      </c>
      <c r="J212" s="188">
        <v>71.2</v>
      </c>
      <c r="K212" s="161">
        <f>ROUND(E212*J212,2)</f>
        <v>21529.46</v>
      </c>
      <c r="L212" s="161">
        <v>21</v>
      </c>
      <c r="M212" s="161">
        <f>G212*(1+L212/100)</f>
        <v>0</v>
      </c>
      <c r="N212" s="161">
        <v>0</v>
      </c>
      <c r="O212" s="161">
        <f>ROUND(E212*N212,2)</f>
        <v>0</v>
      </c>
      <c r="P212" s="161">
        <v>0</v>
      </c>
      <c r="Q212" s="161">
        <f>ROUND(E212*P212,2)</f>
        <v>0</v>
      </c>
      <c r="R212" s="161" t="s">
        <v>98</v>
      </c>
      <c r="S212" s="161" t="s">
        <v>161</v>
      </c>
      <c r="T212" s="161" t="s">
        <v>161</v>
      </c>
      <c r="U212" s="138"/>
      <c r="V212" s="138"/>
      <c r="W212" s="138"/>
      <c r="X212" s="138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</row>
    <row r="213" spans="1:60" ht="33.75" outlineLevel="1" x14ac:dyDescent="0.2">
      <c r="A213" s="183"/>
      <c r="B213" s="165"/>
      <c r="C213" s="208" t="s">
        <v>303</v>
      </c>
      <c r="D213" s="209"/>
      <c r="E213" s="209"/>
      <c r="F213" s="209"/>
      <c r="G213" s="209"/>
      <c r="H213" s="190"/>
      <c r="I213" s="138"/>
      <c r="J213" s="190"/>
      <c r="K213" s="138"/>
      <c r="L213" s="138"/>
      <c r="M213" s="138"/>
      <c r="N213" s="138"/>
      <c r="O213" s="138"/>
      <c r="P213" s="138"/>
      <c r="Q213" s="138"/>
      <c r="R213" s="138"/>
      <c r="S213" s="138"/>
      <c r="T213" s="138"/>
      <c r="U213" s="138"/>
      <c r="V213" s="138"/>
      <c r="W213" s="138"/>
      <c r="X213" s="138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</row>
    <row r="214" spans="1:60" outlineLevel="1" x14ac:dyDescent="0.2">
      <c r="A214" s="183"/>
      <c r="B214" s="165"/>
      <c r="C214" s="211" t="s">
        <v>314</v>
      </c>
      <c r="D214" s="212"/>
      <c r="E214" s="213">
        <f>E114*0.04*2.53+E112*0.07*2.53+E89*0.12*2.5+E144*2.5+E168*0.3*0.4*2.5+E180*0.3*0.2*2.5</f>
        <v>302.38</v>
      </c>
      <c r="F214" s="209"/>
      <c r="G214" s="209"/>
      <c r="H214" s="190"/>
      <c r="I214" s="138"/>
      <c r="J214" s="190"/>
      <c r="K214" s="138"/>
      <c r="L214" s="138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X214" s="138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</row>
    <row r="215" spans="1:60" outlineLevel="1" x14ac:dyDescent="0.2">
      <c r="A215" s="183"/>
      <c r="B215" s="165"/>
      <c r="C215" s="322"/>
      <c r="D215" s="323"/>
      <c r="E215" s="323"/>
      <c r="F215" s="323"/>
      <c r="G215" s="323"/>
      <c r="H215" s="138"/>
      <c r="I215" s="138"/>
      <c r="J215" s="138"/>
      <c r="K215" s="138"/>
      <c r="L215" s="138"/>
      <c r="M215" s="138"/>
      <c r="N215" s="138"/>
      <c r="O215" s="138"/>
      <c r="P215" s="138"/>
      <c r="Q215" s="138"/>
      <c r="R215" s="138"/>
      <c r="S215" s="138"/>
      <c r="T215" s="138"/>
      <c r="U215" s="138"/>
      <c r="V215" s="138"/>
      <c r="W215" s="138"/>
      <c r="X215" s="138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</row>
    <row r="216" spans="1:60" outlineLevel="1" x14ac:dyDescent="0.2">
      <c r="A216" s="140" t="s">
        <v>88</v>
      </c>
      <c r="B216" s="141" t="s">
        <v>57</v>
      </c>
      <c r="C216" s="147" t="s">
        <v>58</v>
      </c>
      <c r="D216" s="142"/>
      <c r="E216" s="143"/>
      <c r="F216" s="144"/>
      <c r="G216" s="144">
        <f>SUMIF(AG217:AG231,"&lt;&gt;NOR",G217:G231)</f>
        <v>0</v>
      </c>
      <c r="H216" s="144"/>
      <c r="I216" s="144">
        <f>SUM(I217:I228)</f>
        <v>0</v>
      </c>
      <c r="J216" s="144"/>
      <c r="K216" s="144">
        <f>SUM(K217:K228)</f>
        <v>11943633.5</v>
      </c>
      <c r="L216" s="144"/>
      <c r="M216" s="144">
        <f>SUM(M217:M231)</f>
        <v>0</v>
      </c>
      <c r="N216" s="144"/>
      <c r="O216" s="144">
        <f>SUM(O217:O228)</f>
        <v>0</v>
      </c>
      <c r="P216" s="144"/>
      <c r="Q216" s="144">
        <f>SUM(Q217:Q228)</f>
        <v>0</v>
      </c>
      <c r="R216" s="144"/>
      <c r="S216" s="144"/>
      <c r="T216" s="145"/>
      <c r="U216" s="138"/>
      <c r="V216" s="138"/>
      <c r="W216" s="138"/>
      <c r="X216" s="138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</row>
    <row r="217" spans="1:60" ht="22.5" outlineLevel="1" x14ac:dyDescent="0.2">
      <c r="A217" s="184">
        <f>A212+1</f>
        <v>73</v>
      </c>
      <c r="B217" s="185" t="s">
        <v>327</v>
      </c>
      <c r="C217" s="189" t="s">
        <v>328</v>
      </c>
      <c r="D217" s="186" t="s">
        <v>106</v>
      </c>
      <c r="E217" s="187">
        <f>E218</f>
        <v>793.9849999999999</v>
      </c>
      <c r="F217" s="188"/>
      <c r="G217" s="161">
        <f>ROUND(E217*F217,2)</f>
        <v>0</v>
      </c>
      <c r="H217" s="188">
        <v>0</v>
      </c>
      <c r="I217" s="161">
        <f>ROUND(E217*H217,2)</f>
        <v>0</v>
      </c>
      <c r="J217" s="188">
        <v>740</v>
      </c>
      <c r="K217" s="161">
        <f>ROUND(E217*J217,2)</f>
        <v>587548.9</v>
      </c>
      <c r="L217" s="161">
        <v>21</v>
      </c>
      <c r="M217" s="161">
        <f>G217*(1+L217/100)</f>
        <v>0</v>
      </c>
      <c r="N217" s="161">
        <v>0</v>
      </c>
      <c r="O217" s="161">
        <f>ROUND(E217*N217,2)</f>
        <v>0</v>
      </c>
      <c r="P217" s="161">
        <v>0</v>
      </c>
      <c r="Q217" s="161">
        <f>ROUND(E217*P217,2)</f>
        <v>0</v>
      </c>
      <c r="R217" s="161" t="s">
        <v>98</v>
      </c>
      <c r="S217" s="161" t="s">
        <v>161</v>
      </c>
      <c r="T217" s="161" t="s">
        <v>161</v>
      </c>
      <c r="U217" s="138"/>
      <c r="V217" s="138"/>
      <c r="W217" s="138"/>
      <c r="X217" s="138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</row>
    <row r="218" spans="1:60" ht="12.75" customHeight="1" outlineLevel="1" x14ac:dyDescent="0.2">
      <c r="A218" s="183"/>
      <c r="B218" s="165"/>
      <c r="C218" s="211" t="s">
        <v>326</v>
      </c>
      <c r="D218" s="212"/>
      <c r="E218" s="213">
        <f>E224+E227+E230</f>
        <v>793.9849999999999</v>
      </c>
      <c r="F218" s="209"/>
      <c r="G218" s="209"/>
      <c r="H218" s="138"/>
      <c r="I218" s="138"/>
      <c r="J218" s="138"/>
      <c r="K218" s="138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X218" s="138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</row>
    <row r="219" spans="1:60" outlineLevel="1" x14ac:dyDescent="0.2">
      <c r="A219" s="183"/>
      <c r="B219" s="165"/>
      <c r="C219" s="322"/>
      <c r="D219" s="323"/>
      <c r="E219" s="323"/>
      <c r="F219" s="323"/>
      <c r="G219" s="323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</row>
    <row r="220" spans="1:60" ht="22.5" outlineLevel="1" x14ac:dyDescent="0.2">
      <c r="A220" s="184">
        <f>A217+1</f>
        <v>74</v>
      </c>
      <c r="B220" s="185" t="s">
        <v>330</v>
      </c>
      <c r="C220" s="189" t="s">
        <v>329</v>
      </c>
      <c r="D220" s="186" t="s">
        <v>106</v>
      </c>
      <c r="E220" s="187">
        <f>E221</f>
        <v>15085.714999999998</v>
      </c>
      <c r="F220" s="188"/>
      <c r="G220" s="161">
        <f>ROUND(E220*F220,2)</f>
        <v>0</v>
      </c>
      <c r="H220" s="188">
        <v>0</v>
      </c>
      <c r="I220" s="161">
        <f>ROUND(E220*H220,2)</f>
        <v>0</v>
      </c>
      <c r="J220" s="188">
        <v>740</v>
      </c>
      <c r="K220" s="161">
        <f>ROUND(E220*J220,2)</f>
        <v>11163429.1</v>
      </c>
      <c r="L220" s="161">
        <v>21</v>
      </c>
      <c r="M220" s="161">
        <f>G220*(1+L220/100)</f>
        <v>0</v>
      </c>
      <c r="N220" s="161">
        <v>0</v>
      </c>
      <c r="O220" s="161">
        <f>ROUND(E220*N220,2)</f>
        <v>0</v>
      </c>
      <c r="P220" s="161">
        <v>0</v>
      </c>
      <c r="Q220" s="161">
        <f>ROUND(E220*P220,2)</f>
        <v>0</v>
      </c>
      <c r="R220" s="161" t="s">
        <v>98</v>
      </c>
      <c r="S220" s="161" t="s">
        <v>161</v>
      </c>
      <c r="T220" s="161" t="s">
        <v>161</v>
      </c>
      <c r="U220" s="138"/>
      <c r="V220" s="138"/>
      <c r="W220" s="138"/>
      <c r="X220" s="138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</row>
    <row r="221" spans="1:60" outlineLevel="1" x14ac:dyDescent="0.2">
      <c r="A221" s="183"/>
      <c r="B221" s="165"/>
      <c r="C221" s="211" t="s">
        <v>331</v>
      </c>
      <c r="D221" s="212"/>
      <c r="E221" s="213">
        <f>E218*19</f>
        <v>15085.714999999998</v>
      </c>
      <c r="F221" s="209"/>
      <c r="G221" s="209"/>
      <c r="H221" s="138"/>
      <c r="I221" s="138"/>
      <c r="J221" s="138"/>
      <c r="K221" s="138"/>
      <c r="L221" s="138"/>
      <c r="M221" s="138"/>
      <c r="N221" s="138"/>
      <c r="O221" s="138"/>
      <c r="P221" s="138"/>
      <c r="Q221" s="138"/>
      <c r="R221" s="138"/>
      <c r="S221" s="138"/>
      <c r="T221" s="138"/>
      <c r="U221" s="138"/>
      <c r="V221" s="138"/>
      <c r="W221" s="138"/>
      <c r="X221" s="138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</row>
    <row r="222" spans="1:60" outlineLevel="1" x14ac:dyDescent="0.2">
      <c r="A222" s="183"/>
      <c r="B222" s="165"/>
      <c r="C222" s="195"/>
      <c r="D222" s="196"/>
      <c r="E222" s="196"/>
      <c r="F222" s="196"/>
      <c r="G222" s="196"/>
      <c r="H222" s="138"/>
      <c r="I222" s="138"/>
      <c r="J222" s="138"/>
      <c r="K222" s="138"/>
      <c r="L222" s="138"/>
      <c r="M222" s="138"/>
      <c r="N222" s="138"/>
      <c r="O222" s="138"/>
      <c r="P222" s="138"/>
      <c r="Q222" s="138"/>
      <c r="R222" s="138"/>
      <c r="S222" s="138"/>
      <c r="T222" s="138"/>
      <c r="U222" s="138"/>
      <c r="V222" s="138"/>
      <c r="W222" s="138"/>
      <c r="X222" s="138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</row>
    <row r="223" spans="1:60" outlineLevel="1" x14ac:dyDescent="0.2">
      <c r="A223" s="184">
        <f>A220+1</f>
        <v>75</v>
      </c>
      <c r="B223" s="185" t="s">
        <v>318</v>
      </c>
      <c r="C223" s="189" t="s">
        <v>316</v>
      </c>
      <c r="D223" s="186" t="s">
        <v>106</v>
      </c>
      <c r="E223" s="187">
        <f>E224</f>
        <v>58.384999999999991</v>
      </c>
      <c r="F223" s="188"/>
      <c r="G223" s="161">
        <f>ROUND(E223*F223,2)</f>
        <v>0</v>
      </c>
      <c r="H223" s="188">
        <v>0</v>
      </c>
      <c r="I223" s="161">
        <f>ROUND(E223*H223,2)</f>
        <v>0</v>
      </c>
      <c r="J223" s="188">
        <v>300</v>
      </c>
      <c r="K223" s="161">
        <f>ROUND(E223*J223,2)</f>
        <v>17515.5</v>
      </c>
      <c r="L223" s="161">
        <v>21</v>
      </c>
      <c r="M223" s="161">
        <f>G223*(1+L223/100)</f>
        <v>0</v>
      </c>
      <c r="N223" s="161">
        <v>0</v>
      </c>
      <c r="O223" s="161">
        <f>ROUND(E223*N223,2)</f>
        <v>0</v>
      </c>
      <c r="P223" s="161">
        <v>0</v>
      </c>
      <c r="Q223" s="161">
        <f>ROUND(E223*P223,2)</f>
        <v>0</v>
      </c>
      <c r="R223" s="161" t="s">
        <v>150</v>
      </c>
      <c r="S223" s="161" t="s">
        <v>161</v>
      </c>
      <c r="T223" s="161" t="s">
        <v>161</v>
      </c>
      <c r="U223" s="138"/>
      <c r="V223" s="138"/>
      <c r="W223" s="138"/>
      <c r="X223" s="138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</row>
    <row r="224" spans="1:60" outlineLevel="1" x14ac:dyDescent="0.2">
      <c r="A224" s="183"/>
      <c r="B224" s="165"/>
      <c r="C224" s="211" t="s">
        <v>322</v>
      </c>
      <c r="D224" s="212"/>
      <c r="E224" s="213">
        <f>5*0.6*0.6*1.2*2+121*0.3*0.3*2.5+18*0.15*2.5+100.45*0.08*2.5</f>
        <v>58.384999999999991</v>
      </c>
      <c r="F224" s="209"/>
      <c r="G224" s="209"/>
      <c r="H224" s="190"/>
      <c r="I224" s="138"/>
      <c r="J224" s="190"/>
      <c r="K224" s="138"/>
      <c r="L224" s="138"/>
      <c r="M224" s="138"/>
      <c r="N224" s="138"/>
      <c r="O224" s="138"/>
      <c r="P224" s="138"/>
      <c r="Q224" s="138"/>
      <c r="R224" s="138"/>
      <c r="S224" s="138"/>
      <c r="T224" s="138"/>
      <c r="U224" s="138"/>
      <c r="V224" s="138"/>
      <c r="W224" s="138"/>
      <c r="X224" s="138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</row>
    <row r="225" spans="1:60" outlineLevel="1" x14ac:dyDescent="0.2">
      <c r="A225" s="183"/>
      <c r="B225" s="165"/>
      <c r="C225" s="195"/>
      <c r="D225" s="196"/>
      <c r="E225" s="196"/>
      <c r="F225" s="196"/>
      <c r="G225" s="196"/>
      <c r="H225" s="138"/>
      <c r="I225" s="138"/>
      <c r="J225" s="138"/>
      <c r="K225" s="138"/>
      <c r="L225" s="138"/>
      <c r="M225" s="138"/>
      <c r="N225" s="138"/>
      <c r="O225" s="138"/>
      <c r="P225" s="138"/>
      <c r="Q225" s="138"/>
      <c r="R225" s="138"/>
      <c r="S225" s="138"/>
      <c r="T225" s="138"/>
      <c r="U225" s="138"/>
      <c r="V225" s="138"/>
      <c r="W225" s="138"/>
      <c r="X225" s="138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</row>
    <row r="226" spans="1:60" ht="12.75" customHeight="1" outlineLevel="1" x14ac:dyDescent="0.2">
      <c r="A226" s="184">
        <f>A223+1</f>
        <v>76</v>
      </c>
      <c r="B226" s="185" t="s">
        <v>320</v>
      </c>
      <c r="C226" s="189" t="s">
        <v>317</v>
      </c>
      <c r="D226" s="186" t="s">
        <v>106</v>
      </c>
      <c r="E226" s="187">
        <f>E227</f>
        <v>583.79999999999995</v>
      </c>
      <c r="F226" s="188"/>
      <c r="G226" s="161">
        <f>ROUND(E226*F226,2)</f>
        <v>0</v>
      </c>
      <c r="H226" s="188">
        <v>0</v>
      </c>
      <c r="I226" s="161">
        <f>ROUND(E226*H226,2)</f>
        <v>0</v>
      </c>
      <c r="J226" s="188">
        <v>300</v>
      </c>
      <c r="K226" s="161">
        <f>ROUND(E226*J226,2)</f>
        <v>175140</v>
      </c>
      <c r="L226" s="161">
        <v>21</v>
      </c>
      <c r="M226" s="161">
        <f>G226*(1+L226/100)</f>
        <v>0</v>
      </c>
      <c r="N226" s="161">
        <v>0</v>
      </c>
      <c r="O226" s="161">
        <f>ROUND(E226*N226,2)</f>
        <v>0</v>
      </c>
      <c r="P226" s="161">
        <v>0</v>
      </c>
      <c r="Q226" s="161">
        <f>ROUND(E226*P226,2)</f>
        <v>0</v>
      </c>
      <c r="R226" s="161" t="s">
        <v>150</v>
      </c>
      <c r="S226" s="161" t="s">
        <v>161</v>
      </c>
      <c r="T226" s="161" t="s">
        <v>161</v>
      </c>
      <c r="U226" s="138"/>
      <c r="V226" s="138"/>
      <c r="W226" s="138"/>
      <c r="X226" s="138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</row>
    <row r="227" spans="1:60" outlineLevel="1" x14ac:dyDescent="0.2">
      <c r="A227" s="183"/>
      <c r="B227" s="165"/>
      <c r="C227" s="211" t="s">
        <v>321</v>
      </c>
      <c r="D227" s="212"/>
      <c r="E227" s="213">
        <f>973*0.3*2</f>
        <v>583.79999999999995</v>
      </c>
      <c r="F227" s="209"/>
      <c r="G227" s="209"/>
      <c r="H227" s="190"/>
      <c r="I227" s="138"/>
      <c r="J227" s="190"/>
      <c r="K227" s="138"/>
      <c r="L227" s="138"/>
      <c r="M227" s="138"/>
      <c r="N227" s="138"/>
      <c r="O227" s="138"/>
      <c r="P227" s="138"/>
      <c r="Q227" s="138"/>
      <c r="R227" s="138"/>
      <c r="S227" s="138"/>
      <c r="T227" s="138"/>
      <c r="U227" s="138"/>
      <c r="V227" s="138"/>
      <c r="W227" s="138"/>
      <c r="X227" s="138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</row>
    <row r="228" spans="1:60" outlineLevel="1" x14ac:dyDescent="0.2">
      <c r="A228" s="183"/>
      <c r="B228" s="165"/>
      <c r="C228" s="322"/>
      <c r="D228" s="323"/>
      <c r="E228" s="323"/>
      <c r="F228" s="323"/>
      <c r="G228" s="323"/>
      <c r="H228" s="138"/>
      <c r="I228" s="138"/>
      <c r="J228" s="138"/>
      <c r="K228" s="138"/>
      <c r="L228" s="138"/>
      <c r="M228" s="138"/>
      <c r="N228" s="138"/>
      <c r="O228" s="138"/>
      <c r="P228" s="138"/>
      <c r="Q228" s="138"/>
      <c r="R228" s="138"/>
      <c r="S228" s="138"/>
      <c r="T228" s="138"/>
      <c r="U228" s="138"/>
      <c r="V228" s="138"/>
      <c r="W228" s="138"/>
      <c r="X228" s="138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</row>
    <row r="229" spans="1:60" outlineLevel="1" x14ac:dyDescent="0.2">
      <c r="A229" s="184">
        <f>A226+1</f>
        <v>77</v>
      </c>
      <c r="B229" s="185" t="s">
        <v>319</v>
      </c>
      <c r="C229" s="189" t="s">
        <v>315</v>
      </c>
      <c r="D229" s="186" t="s">
        <v>106</v>
      </c>
      <c r="E229" s="187">
        <f>E230</f>
        <v>151.79999999999998</v>
      </c>
      <c r="F229" s="188"/>
      <c r="G229" s="161">
        <f>ROUND(E229*F229,2)</f>
        <v>0</v>
      </c>
      <c r="H229" s="188">
        <v>0</v>
      </c>
      <c r="I229" s="161">
        <f>ROUND(E229*H229,2)</f>
        <v>0</v>
      </c>
      <c r="J229" s="188">
        <v>300</v>
      </c>
      <c r="K229" s="161">
        <f>ROUND(E229*J229,2)</f>
        <v>45540</v>
      </c>
      <c r="L229" s="161">
        <v>21</v>
      </c>
      <c r="M229" s="161">
        <f>G229*(1+L229/100)</f>
        <v>0</v>
      </c>
      <c r="N229" s="161">
        <v>0</v>
      </c>
      <c r="O229" s="161">
        <f>ROUND(E229*N229,2)</f>
        <v>0</v>
      </c>
      <c r="P229" s="161">
        <v>0</v>
      </c>
      <c r="Q229" s="161">
        <f>ROUND(E229*P229,2)</f>
        <v>0</v>
      </c>
      <c r="R229" s="161" t="s">
        <v>150</v>
      </c>
      <c r="S229" s="161" t="s">
        <v>161</v>
      </c>
      <c r="T229" s="161" t="s">
        <v>161</v>
      </c>
      <c r="U229" s="138"/>
      <c r="V229" s="138"/>
      <c r="W229" s="138"/>
      <c r="X229" s="138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</row>
    <row r="230" spans="1:60" outlineLevel="1" x14ac:dyDescent="0.2">
      <c r="A230" s="183"/>
      <c r="B230" s="165"/>
      <c r="C230" s="211" t="s">
        <v>323</v>
      </c>
      <c r="D230" s="212"/>
      <c r="E230" s="213">
        <f>600*0.1*2.53</f>
        <v>151.79999999999998</v>
      </c>
      <c r="F230" s="209"/>
      <c r="G230" s="209"/>
      <c r="H230" s="190"/>
      <c r="I230" s="138"/>
      <c r="J230" s="190"/>
      <c r="K230" s="138"/>
      <c r="L230" s="138"/>
      <c r="M230" s="138"/>
      <c r="N230" s="138"/>
      <c r="O230" s="138"/>
      <c r="P230" s="138"/>
      <c r="Q230" s="138"/>
      <c r="R230" s="138"/>
      <c r="S230" s="138"/>
      <c r="T230" s="138"/>
      <c r="U230" s="138"/>
      <c r="V230" s="138"/>
      <c r="W230" s="138"/>
      <c r="X230" s="138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</row>
    <row r="231" spans="1:60" outlineLevel="1" x14ac:dyDescent="0.2">
      <c r="A231" s="183"/>
      <c r="B231" s="165"/>
      <c r="C231" s="195"/>
      <c r="D231" s="196"/>
      <c r="E231" s="196"/>
      <c r="F231" s="196"/>
      <c r="G231" s="196"/>
      <c r="H231" s="138"/>
      <c r="I231" s="138"/>
      <c r="J231" s="138"/>
      <c r="K231" s="138"/>
      <c r="L231" s="138"/>
      <c r="M231" s="138"/>
      <c r="N231" s="138"/>
      <c r="O231" s="138"/>
      <c r="P231" s="138"/>
      <c r="Q231" s="138"/>
      <c r="R231" s="138"/>
      <c r="S231" s="138"/>
      <c r="T231" s="138"/>
      <c r="U231" s="138"/>
      <c r="V231" s="138"/>
      <c r="W231" s="138"/>
      <c r="X231" s="138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</row>
    <row r="232" spans="1:60" outlineLevel="1" x14ac:dyDescent="0.2">
      <c r="A232" s="140" t="s">
        <v>88</v>
      </c>
      <c r="B232" s="141" t="s">
        <v>60</v>
      </c>
      <c r="C232" s="147" t="s">
        <v>26</v>
      </c>
      <c r="D232" s="142"/>
      <c r="E232" s="143"/>
      <c r="F232" s="144"/>
      <c r="G232" s="144">
        <f>G233+G236+G239+G242</f>
        <v>0</v>
      </c>
      <c r="H232" s="144"/>
      <c r="I232" s="144">
        <f>SUM(I236:I238)</f>
        <v>0</v>
      </c>
      <c r="J232" s="144"/>
      <c r="K232" s="144">
        <f>SUM(K236:K238)</f>
        <v>0</v>
      </c>
      <c r="L232" s="144"/>
      <c r="M232" s="144">
        <f>M233+M236+M239+M242</f>
        <v>0</v>
      </c>
      <c r="N232" s="144"/>
      <c r="O232" s="144">
        <f>SUM(O236:O238)</f>
        <v>0</v>
      </c>
      <c r="P232" s="144"/>
      <c r="Q232" s="144">
        <f>SUM(Q236:Q238)</f>
        <v>0</v>
      </c>
      <c r="R232" s="144"/>
      <c r="S232" s="144"/>
      <c r="T232" s="145"/>
      <c r="U232" s="138"/>
      <c r="V232" s="138"/>
      <c r="W232" s="138"/>
      <c r="X232" s="138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</row>
    <row r="233" spans="1:60" outlineLevel="1" x14ac:dyDescent="0.2">
      <c r="A233" s="184">
        <f>A229+1</f>
        <v>78</v>
      </c>
      <c r="B233" s="185" t="s">
        <v>115</v>
      </c>
      <c r="C233" s="189" t="s">
        <v>151</v>
      </c>
      <c r="D233" s="186" t="s">
        <v>94</v>
      </c>
      <c r="E233" s="187">
        <v>1</v>
      </c>
      <c r="F233" s="188"/>
      <c r="G233" s="161">
        <f>ROUND(E233*F233,2)</f>
        <v>0</v>
      </c>
      <c r="H233" s="188">
        <v>0</v>
      </c>
      <c r="I233" s="161">
        <f>ROUND(E233*H233,2)</f>
        <v>0</v>
      </c>
      <c r="J233" s="188">
        <v>0</v>
      </c>
      <c r="K233" s="161">
        <f>ROUND(E233*J233,2)</f>
        <v>0</v>
      </c>
      <c r="L233" s="161">
        <v>21</v>
      </c>
      <c r="M233" s="161">
        <f>G233*(1+L233/100)</f>
        <v>0</v>
      </c>
      <c r="N233" s="161">
        <v>0</v>
      </c>
      <c r="O233" s="161">
        <f>ROUND(E233*N233,2)</f>
        <v>0</v>
      </c>
      <c r="P233" s="161">
        <v>0</v>
      </c>
      <c r="Q233" s="161">
        <f>ROUND(E233*P233,2)</f>
        <v>0</v>
      </c>
      <c r="R233" s="161"/>
      <c r="S233" s="161" t="s">
        <v>161</v>
      </c>
      <c r="T233" s="162" t="s">
        <v>95</v>
      </c>
      <c r="U233" s="138"/>
      <c r="V233" s="138"/>
      <c r="W233" s="138"/>
      <c r="X233" s="138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</row>
    <row r="234" spans="1:60" outlineLevel="1" x14ac:dyDescent="0.2">
      <c r="A234" s="183"/>
      <c r="B234" s="165"/>
      <c r="C234" s="327" t="s">
        <v>332</v>
      </c>
      <c r="D234" s="328"/>
      <c r="E234" s="328"/>
      <c r="F234" s="328"/>
      <c r="G234" s="328"/>
      <c r="H234" s="138"/>
      <c r="I234" s="138"/>
      <c r="J234" s="138"/>
      <c r="K234" s="138"/>
      <c r="L234" s="138"/>
      <c r="M234" s="138"/>
      <c r="N234" s="138"/>
      <c r="O234" s="138"/>
      <c r="P234" s="138"/>
      <c r="Q234" s="138"/>
      <c r="R234" s="138"/>
      <c r="S234" s="138"/>
      <c r="T234" s="138"/>
      <c r="U234" s="138"/>
      <c r="V234" s="138"/>
      <c r="W234" s="138"/>
      <c r="X234" s="138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</row>
    <row r="235" spans="1:60" outlineLevel="1" x14ac:dyDescent="0.2">
      <c r="A235" s="183"/>
      <c r="B235" s="165"/>
      <c r="C235" s="322"/>
      <c r="D235" s="323"/>
      <c r="E235" s="323"/>
      <c r="F235" s="323"/>
      <c r="G235" s="323"/>
      <c r="H235" s="138"/>
      <c r="I235" s="138"/>
      <c r="J235" s="138"/>
      <c r="K235" s="138"/>
      <c r="L235" s="138"/>
      <c r="M235" s="138"/>
      <c r="N235" s="138"/>
      <c r="O235" s="138"/>
      <c r="P235" s="138"/>
      <c r="Q235" s="138"/>
      <c r="R235" s="138"/>
      <c r="S235" s="138"/>
      <c r="T235" s="138"/>
      <c r="U235" s="138"/>
      <c r="V235" s="138"/>
      <c r="W235" s="138"/>
      <c r="X235" s="138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</row>
    <row r="236" spans="1:60" outlineLevel="1" x14ac:dyDescent="0.2">
      <c r="A236" s="184">
        <f>A233+1</f>
        <v>79</v>
      </c>
      <c r="B236" s="185" t="s">
        <v>152</v>
      </c>
      <c r="C236" s="189" t="s">
        <v>153</v>
      </c>
      <c r="D236" s="186" t="s">
        <v>94</v>
      </c>
      <c r="E236" s="187">
        <v>1</v>
      </c>
      <c r="F236" s="188"/>
      <c r="G236" s="161">
        <f>ROUND(E236*F236,2)</f>
        <v>0</v>
      </c>
      <c r="H236" s="188">
        <v>0</v>
      </c>
      <c r="I236" s="161">
        <f>ROUND(E236*H236,2)</f>
        <v>0</v>
      </c>
      <c r="J236" s="188">
        <v>0</v>
      </c>
      <c r="K236" s="161">
        <f>ROUND(E236*J236,2)</f>
        <v>0</v>
      </c>
      <c r="L236" s="161">
        <v>21</v>
      </c>
      <c r="M236" s="161">
        <f>G236*(1+L236/100)</f>
        <v>0</v>
      </c>
      <c r="N236" s="161">
        <v>0</v>
      </c>
      <c r="O236" s="161">
        <f>ROUND(E236*N236,2)</f>
        <v>0</v>
      </c>
      <c r="P236" s="161">
        <v>0</v>
      </c>
      <c r="Q236" s="161">
        <f>ROUND(E236*P236,2)</f>
        <v>0</v>
      </c>
      <c r="R236" s="161"/>
      <c r="S236" s="161" t="s">
        <v>161</v>
      </c>
      <c r="T236" s="162" t="s">
        <v>95</v>
      </c>
      <c r="U236" s="138"/>
      <c r="V236" s="138"/>
      <c r="W236" s="138"/>
      <c r="X236" s="138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</row>
    <row r="237" spans="1:60" ht="22.9" customHeight="1" outlineLevel="1" x14ac:dyDescent="0.2">
      <c r="A237" s="183"/>
      <c r="B237" s="165"/>
      <c r="C237" s="327" t="s">
        <v>154</v>
      </c>
      <c r="D237" s="328"/>
      <c r="E237" s="328"/>
      <c r="F237" s="328"/>
      <c r="G237" s="328"/>
      <c r="H237" s="138"/>
      <c r="I237" s="138"/>
      <c r="J237" s="138"/>
      <c r="K237" s="138"/>
      <c r="L237" s="138"/>
      <c r="M237" s="138"/>
      <c r="N237" s="138"/>
      <c r="O237" s="138"/>
      <c r="P237" s="138"/>
      <c r="Q237" s="138"/>
      <c r="R237" s="138"/>
      <c r="S237" s="138"/>
      <c r="T237" s="138"/>
      <c r="U237" s="138"/>
      <c r="V237" s="138"/>
      <c r="W237" s="138"/>
      <c r="X237" s="138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</row>
    <row r="238" spans="1:60" outlineLevel="1" x14ac:dyDescent="0.2">
      <c r="A238" s="183"/>
      <c r="B238" s="165"/>
      <c r="C238" s="322"/>
      <c r="D238" s="323"/>
      <c r="E238" s="323"/>
      <c r="F238" s="323"/>
      <c r="G238" s="323"/>
      <c r="H238" s="138"/>
      <c r="I238" s="138"/>
      <c r="J238" s="138"/>
      <c r="K238" s="138"/>
      <c r="L238" s="138"/>
      <c r="M238" s="138"/>
      <c r="N238" s="138"/>
      <c r="O238" s="138"/>
      <c r="P238" s="138"/>
      <c r="Q238" s="138"/>
      <c r="R238" s="138"/>
      <c r="S238" s="138"/>
      <c r="T238" s="138"/>
      <c r="U238" s="138"/>
      <c r="V238" s="138"/>
      <c r="W238" s="138"/>
      <c r="X238" s="138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</row>
    <row r="239" spans="1:60" outlineLevel="1" x14ac:dyDescent="0.2">
      <c r="A239" s="184">
        <f>A236+1</f>
        <v>80</v>
      </c>
      <c r="B239" s="185" t="s">
        <v>114</v>
      </c>
      <c r="C239" s="189" t="s">
        <v>93</v>
      </c>
      <c r="D239" s="186" t="s">
        <v>94</v>
      </c>
      <c r="E239" s="187">
        <v>1</v>
      </c>
      <c r="F239" s="188"/>
      <c r="G239" s="161">
        <f>ROUND(E239*F239,2)</f>
        <v>0</v>
      </c>
      <c r="H239" s="188">
        <v>0</v>
      </c>
      <c r="I239" s="161">
        <f>ROUND(E239*H239,2)</f>
        <v>0</v>
      </c>
      <c r="J239" s="188">
        <v>0</v>
      </c>
      <c r="K239" s="161">
        <f>ROUND(E239*J239,2)</f>
        <v>0</v>
      </c>
      <c r="L239" s="161">
        <v>21</v>
      </c>
      <c r="M239" s="161">
        <f>G239*(1+L239/100)</f>
        <v>0</v>
      </c>
      <c r="N239" s="161">
        <v>0</v>
      </c>
      <c r="O239" s="161">
        <f>ROUND(E239*N239,2)</f>
        <v>0</v>
      </c>
      <c r="P239" s="161">
        <v>0</v>
      </c>
      <c r="Q239" s="161">
        <f>ROUND(E239*P239,2)</f>
        <v>0</v>
      </c>
      <c r="R239" s="161"/>
      <c r="S239" s="161" t="s">
        <v>161</v>
      </c>
      <c r="T239" s="162" t="s">
        <v>95</v>
      </c>
      <c r="U239" s="138"/>
      <c r="V239" s="138"/>
      <c r="W239" s="138"/>
      <c r="X239" s="138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</row>
    <row r="240" spans="1:60" outlineLevel="1" x14ac:dyDescent="0.2">
      <c r="A240" s="183"/>
      <c r="B240" s="165"/>
      <c r="C240" s="327" t="s">
        <v>333</v>
      </c>
      <c r="D240" s="328"/>
      <c r="E240" s="328"/>
      <c r="F240" s="328"/>
      <c r="G240" s="328"/>
      <c r="H240" s="190"/>
      <c r="I240" s="138"/>
      <c r="J240" s="190"/>
      <c r="K240" s="138"/>
      <c r="L240" s="138"/>
      <c r="M240" s="138"/>
      <c r="N240" s="138"/>
      <c r="O240" s="138"/>
      <c r="P240" s="138"/>
      <c r="Q240" s="138"/>
      <c r="R240" s="138"/>
      <c r="S240" s="138"/>
      <c r="T240" s="138"/>
      <c r="U240" s="138"/>
      <c r="V240" s="138"/>
      <c r="W240" s="138"/>
      <c r="X240" s="138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</row>
    <row r="241" spans="1:60" outlineLevel="1" x14ac:dyDescent="0.2">
      <c r="A241" s="183"/>
      <c r="B241" s="165"/>
      <c r="C241" s="322"/>
      <c r="D241" s="323"/>
      <c r="E241" s="323"/>
      <c r="F241" s="323"/>
      <c r="G241" s="323"/>
      <c r="H241" s="138"/>
      <c r="I241" s="138"/>
      <c r="J241" s="138"/>
      <c r="K241" s="138"/>
      <c r="L241" s="138"/>
      <c r="M241" s="138"/>
      <c r="N241" s="138"/>
      <c r="O241" s="138"/>
      <c r="P241" s="138"/>
      <c r="Q241" s="138"/>
      <c r="R241" s="138"/>
      <c r="S241" s="138"/>
      <c r="T241" s="138"/>
      <c r="U241" s="138"/>
      <c r="V241" s="138"/>
      <c r="W241" s="138"/>
      <c r="X241" s="138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</row>
    <row r="242" spans="1:60" outlineLevel="1" x14ac:dyDescent="0.2">
      <c r="A242" s="184">
        <f>A239+1</f>
        <v>81</v>
      </c>
      <c r="B242" s="185" t="s">
        <v>96</v>
      </c>
      <c r="C242" s="189" t="s">
        <v>97</v>
      </c>
      <c r="D242" s="186" t="s">
        <v>94</v>
      </c>
      <c r="E242" s="187">
        <v>1</v>
      </c>
      <c r="F242" s="188"/>
      <c r="G242" s="161">
        <f>ROUND(E242*F242,2)</f>
        <v>0</v>
      </c>
      <c r="H242" s="188">
        <v>0</v>
      </c>
      <c r="I242" s="161">
        <f>ROUND(E242*H242,2)</f>
        <v>0</v>
      </c>
      <c r="J242" s="188">
        <v>0</v>
      </c>
      <c r="K242" s="161">
        <f>ROUND(E242*J242,2)</f>
        <v>0</v>
      </c>
      <c r="L242" s="161">
        <v>21</v>
      </c>
      <c r="M242" s="161">
        <f>G242*(1+L242/100)</f>
        <v>0</v>
      </c>
      <c r="N242" s="161">
        <v>0</v>
      </c>
      <c r="O242" s="161">
        <f>ROUND(E242*N242,2)</f>
        <v>0</v>
      </c>
      <c r="P242" s="161">
        <v>0</v>
      </c>
      <c r="Q242" s="161">
        <f>ROUND(E242*P242,2)</f>
        <v>0</v>
      </c>
      <c r="R242" s="161"/>
      <c r="S242" s="161" t="s">
        <v>161</v>
      </c>
      <c r="T242" s="162" t="s">
        <v>95</v>
      </c>
      <c r="U242" s="138"/>
      <c r="V242" s="138"/>
      <c r="W242" s="138"/>
      <c r="X242" s="138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</row>
    <row r="243" spans="1:60" ht="24" customHeight="1" outlineLevel="1" x14ac:dyDescent="0.2">
      <c r="A243" s="183"/>
      <c r="B243" s="165"/>
      <c r="C243" s="327" t="s">
        <v>155</v>
      </c>
      <c r="D243" s="328"/>
      <c r="E243" s="328"/>
      <c r="F243" s="328"/>
      <c r="G243" s="328"/>
      <c r="H243" s="138"/>
      <c r="I243" s="138"/>
      <c r="J243" s="138"/>
      <c r="K243" s="138"/>
      <c r="L243" s="138"/>
      <c r="M243" s="138"/>
      <c r="N243" s="138"/>
      <c r="O243" s="138"/>
      <c r="P243" s="138"/>
      <c r="Q243" s="138"/>
      <c r="R243" s="138"/>
      <c r="S243" s="138"/>
      <c r="T243" s="138"/>
      <c r="U243" s="138"/>
      <c r="V243" s="138"/>
      <c r="W243" s="138"/>
      <c r="X243" s="138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</row>
    <row r="244" spans="1:60" outlineLevel="1" x14ac:dyDescent="0.2">
      <c r="A244" s="183"/>
      <c r="B244" s="165"/>
      <c r="C244" s="195"/>
      <c r="D244" s="196"/>
      <c r="E244" s="196"/>
      <c r="F244" s="196"/>
      <c r="G244" s="196"/>
      <c r="H244" s="138"/>
      <c r="I244" s="138"/>
      <c r="J244" s="138"/>
      <c r="K244" s="138"/>
      <c r="L244" s="138"/>
      <c r="M244" s="138"/>
      <c r="N244" s="138"/>
      <c r="O244" s="138"/>
      <c r="P244" s="138"/>
      <c r="Q244" s="138"/>
      <c r="R244" s="138"/>
      <c r="S244" s="138"/>
      <c r="T244" s="138"/>
      <c r="U244" s="138"/>
      <c r="V244" s="138"/>
      <c r="W244" s="138"/>
      <c r="X244" s="138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</row>
    <row r="245" spans="1:60" ht="13.15" customHeight="1" outlineLevel="1" x14ac:dyDescent="0.2">
      <c r="A245" s="140" t="s">
        <v>88</v>
      </c>
      <c r="B245" s="141" t="s">
        <v>61</v>
      </c>
      <c r="C245" s="147" t="s">
        <v>27</v>
      </c>
      <c r="D245" s="142"/>
      <c r="E245" s="143"/>
      <c r="F245" s="144"/>
      <c r="G245" s="144">
        <f>SUMIF(AG246:AG257,"&lt;&gt;NOR",G246:G257)</f>
        <v>0</v>
      </c>
      <c r="H245" s="144"/>
      <c r="I245" s="144">
        <f>SUM(I246:I257)</f>
        <v>0</v>
      </c>
      <c r="J245" s="144"/>
      <c r="K245" s="144">
        <f>SUM(K246:K257)</f>
        <v>0</v>
      </c>
      <c r="L245" s="144"/>
      <c r="M245" s="144">
        <f>SUM(M246:M257)</f>
        <v>0</v>
      </c>
      <c r="N245" s="144"/>
      <c r="O245" s="144">
        <f>SUM(O246:O257)</f>
        <v>0</v>
      </c>
      <c r="P245" s="144"/>
      <c r="Q245" s="144">
        <f>SUM(Q246:Q257)</f>
        <v>0</v>
      </c>
      <c r="R245" s="144"/>
      <c r="S245" s="144"/>
      <c r="T245" s="145"/>
      <c r="U245" s="138"/>
      <c r="V245" s="138"/>
      <c r="W245" s="138"/>
      <c r="X245" s="138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</row>
    <row r="246" spans="1:60" outlineLevel="1" x14ac:dyDescent="0.2">
      <c r="A246" s="184">
        <f>A242+1</f>
        <v>82</v>
      </c>
      <c r="B246" s="185" t="s">
        <v>108</v>
      </c>
      <c r="C246" s="189" t="s">
        <v>109</v>
      </c>
      <c r="D246" s="186" t="s">
        <v>94</v>
      </c>
      <c r="E246" s="187">
        <v>1</v>
      </c>
      <c r="F246" s="188"/>
      <c r="G246" s="161">
        <f>ROUND(E246*F246,2)</f>
        <v>0</v>
      </c>
      <c r="H246" s="188">
        <v>0</v>
      </c>
      <c r="I246" s="161">
        <f>ROUND(E246*H246,2)</f>
        <v>0</v>
      </c>
      <c r="J246" s="188">
        <v>0</v>
      </c>
      <c r="K246" s="161">
        <f>ROUND(E246*J246,2)</f>
        <v>0</v>
      </c>
      <c r="L246" s="161">
        <v>21</v>
      </c>
      <c r="M246" s="161">
        <f>G246*(1+L246/100)</f>
        <v>0</v>
      </c>
      <c r="N246" s="161">
        <v>0</v>
      </c>
      <c r="O246" s="161">
        <f>ROUND(E246*N246,2)</f>
        <v>0</v>
      </c>
      <c r="P246" s="161">
        <v>0</v>
      </c>
      <c r="Q246" s="161">
        <f>ROUND(E246*P246,2)</f>
        <v>0</v>
      </c>
      <c r="R246" s="161"/>
      <c r="S246" s="161" t="s">
        <v>161</v>
      </c>
      <c r="T246" s="162" t="s">
        <v>95</v>
      </c>
      <c r="U246" s="138"/>
      <c r="V246" s="138"/>
      <c r="W246" s="138"/>
      <c r="X246" s="138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</row>
    <row r="247" spans="1:60" ht="35.25" customHeight="1" outlineLevel="1" x14ac:dyDescent="0.2">
      <c r="A247" s="183"/>
      <c r="B247" s="165"/>
      <c r="C247" s="327" t="s">
        <v>156</v>
      </c>
      <c r="D247" s="328"/>
      <c r="E247" s="328"/>
      <c r="F247" s="328"/>
      <c r="G247" s="328"/>
      <c r="H247" s="138"/>
      <c r="I247" s="138"/>
      <c r="J247" s="138"/>
      <c r="K247" s="138"/>
      <c r="L247" s="138"/>
      <c r="M247" s="138"/>
      <c r="N247" s="138"/>
      <c r="O247" s="138"/>
      <c r="P247" s="138"/>
      <c r="Q247" s="138"/>
      <c r="R247" s="138"/>
      <c r="S247" s="138"/>
      <c r="T247" s="138"/>
      <c r="U247" s="138"/>
      <c r="V247" s="138"/>
      <c r="W247" s="138"/>
      <c r="X247" s="138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</row>
    <row r="248" spans="1:60" outlineLevel="1" x14ac:dyDescent="0.2">
      <c r="A248" s="183"/>
      <c r="B248" s="165"/>
      <c r="C248" s="322"/>
      <c r="D248" s="323"/>
      <c r="E248" s="323"/>
      <c r="F248" s="323"/>
      <c r="G248" s="323"/>
      <c r="H248" s="138"/>
      <c r="I248" s="138"/>
      <c r="J248" s="138"/>
      <c r="K248" s="138"/>
      <c r="L248" s="138"/>
      <c r="M248" s="138"/>
      <c r="N248" s="138"/>
      <c r="O248" s="138"/>
      <c r="P248" s="138"/>
      <c r="Q248" s="138"/>
      <c r="R248" s="138"/>
      <c r="S248" s="138"/>
      <c r="T248" s="138"/>
      <c r="U248" s="138"/>
      <c r="V248" s="138"/>
      <c r="W248" s="138"/>
      <c r="X248" s="138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</row>
    <row r="249" spans="1:60" outlineLevel="1" x14ac:dyDescent="0.2">
      <c r="A249" s="184">
        <f>A246+1</f>
        <v>83</v>
      </c>
      <c r="B249" s="185" t="s">
        <v>110</v>
      </c>
      <c r="C249" s="189" t="s">
        <v>336</v>
      </c>
      <c r="D249" s="186" t="s">
        <v>94</v>
      </c>
      <c r="E249" s="187">
        <v>1</v>
      </c>
      <c r="F249" s="188"/>
      <c r="G249" s="161">
        <f>ROUND(E249*F249,2)</f>
        <v>0</v>
      </c>
      <c r="H249" s="188">
        <v>0</v>
      </c>
      <c r="I249" s="161">
        <f>ROUND(E249*H249,2)</f>
        <v>0</v>
      </c>
      <c r="J249" s="188">
        <v>0</v>
      </c>
      <c r="K249" s="161">
        <f>ROUND(E249*J249,2)</f>
        <v>0</v>
      </c>
      <c r="L249" s="161">
        <v>21</v>
      </c>
      <c r="M249" s="161">
        <f>G249*(1+L249/100)</f>
        <v>0</v>
      </c>
      <c r="N249" s="161">
        <v>0</v>
      </c>
      <c r="O249" s="161">
        <f>ROUND(E249*N249,2)</f>
        <v>0</v>
      </c>
      <c r="P249" s="161">
        <v>0</v>
      </c>
      <c r="Q249" s="161">
        <f>ROUND(E249*P249,2)</f>
        <v>0</v>
      </c>
      <c r="R249" s="161"/>
      <c r="S249" s="161" t="s">
        <v>161</v>
      </c>
      <c r="T249" s="162" t="s">
        <v>95</v>
      </c>
      <c r="U249" s="138"/>
      <c r="V249" s="138"/>
      <c r="W249" s="138"/>
      <c r="X249" s="138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</row>
    <row r="250" spans="1:60" ht="34.5" customHeight="1" outlineLevel="1" x14ac:dyDescent="0.2">
      <c r="A250" s="183"/>
      <c r="B250" s="165"/>
      <c r="C250" s="327" t="s">
        <v>337</v>
      </c>
      <c r="D250" s="328"/>
      <c r="E250" s="328"/>
      <c r="F250" s="328"/>
      <c r="G250" s="328"/>
      <c r="H250" s="138"/>
      <c r="I250" s="138"/>
      <c r="J250" s="138"/>
      <c r="K250" s="138"/>
      <c r="L250" s="138"/>
      <c r="M250" s="138"/>
      <c r="N250" s="138"/>
      <c r="O250" s="138"/>
      <c r="P250" s="138"/>
      <c r="Q250" s="138"/>
      <c r="R250" s="138"/>
      <c r="S250" s="138"/>
      <c r="T250" s="138"/>
      <c r="U250" s="138"/>
      <c r="V250" s="138"/>
      <c r="W250" s="138"/>
      <c r="X250" s="138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</row>
    <row r="251" spans="1:60" outlineLevel="1" x14ac:dyDescent="0.2">
      <c r="A251" s="183"/>
      <c r="B251" s="165"/>
      <c r="C251" s="195"/>
      <c r="D251" s="196"/>
      <c r="E251" s="196"/>
      <c r="F251" s="196"/>
      <c r="G251" s="196"/>
      <c r="H251" s="138"/>
      <c r="I251" s="138"/>
      <c r="J251" s="138"/>
      <c r="K251" s="138"/>
      <c r="L251" s="138"/>
      <c r="M251" s="138"/>
      <c r="N251" s="138"/>
      <c r="O251" s="138"/>
      <c r="P251" s="138"/>
      <c r="Q251" s="138"/>
      <c r="R251" s="138"/>
      <c r="S251" s="138"/>
      <c r="T251" s="138"/>
      <c r="U251" s="138"/>
      <c r="V251" s="138"/>
      <c r="W251" s="138"/>
      <c r="X251" s="138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</row>
    <row r="252" spans="1:60" outlineLevel="1" x14ac:dyDescent="0.2">
      <c r="A252" s="184">
        <f>A249+1</f>
        <v>84</v>
      </c>
      <c r="B252" s="185" t="s">
        <v>110</v>
      </c>
      <c r="C252" s="189" t="s">
        <v>335</v>
      </c>
      <c r="D252" s="186" t="s">
        <v>94</v>
      </c>
      <c r="E252" s="187">
        <v>1</v>
      </c>
      <c r="F252" s="188"/>
      <c r="G252" s="161">
        <f>ROUND(E252*F252,2)</f>
        <v>0</v>
      </c>
      <c r="H252" s="188">
        <v>0</v>
      </c>
      <c r="I252" s="161">
        <f>ROUND(E252*H252,2)</f>
        <v>0</v>
      </c>
      <c r="J252" s="188">
        <v>0</v>
      </c>
      <c r="K252" s="161">
        <f>ROUND(E252*J252,2)</f>
        <v>0</v>
      </c>
      <c r="L252" s="161">
        <v>21</v>
      </c>
      <c r="M252" s="161">
        <f>G252*(1+L252/100)</f>
        <v>0</v>
      </c>
      <c r="N252" s="161">
        <v>0</v>
      </c>
      <c r="O252" s="161">
        <f>ROUND(E252*N252,2)</f>
        <v>0</v>
      </c>
      <c r="P252" s="161">
        <v>0</v>
      </c>
      <c r="Q252" s="161">
        <f>ROUND(E252*P252,2)</f>
        <v>0</v>
      </c>
      <c r="R252" s="161"/>
      <c r="S252" s="161" t="s">
        <v>161</v>
      </c>
      <c r="T252" s="162" t="s">
        <v>95</v>
      </c>
      <c r="U252" s="138"/>
      <c r="V252" s="138"/>
      <c r="W252" s="138"/>
      <c r="X252" s="138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</row>
    <row r="253" spans="1:60" ht="12.75" customHeight="1" outlineLevel="1" x14ac:dyDescent="0.2">
      <c r="A253" s="183"/>
      <c r="B253" s="165"/>
      <c r="C253" s="327" t="s">
        <v>334</v>
      </c>
      <c r="D253" s="328"/>
      <c r="E253" s="328"/>
      <c r="F253" s="328"/>
      <c r="G253" s="328"/>
      <c r="H253" s="138"/>
      <c r="I253" s="138"/>
      <c r="J253" s="138"/>
      <c r="K253" s="138"/>
      <c r="L253" s="138"/>
      <c r="M253" s="138"/>
      <c r="N253" s="138"/>
      <c r="O253" s="138"/>
      <c r="P253" s="138"/>
      <c r="Q253" s="138"/>
      <c r="R253" s="138"/>
      <c r="S253" s="138"/>
      <c r="T253" s="138"/>
      <c r="U253" s="138"/>
      <c r="V253" s="138"/>
      <c r="W253" s="138"/>
      <c r="X253" s="138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</row>
    <row r="254" spans="1:60" outlineLevel="1" x14ac:dyDescent="0.2">
      <c r="A254" s="183"/>
      <c r="B254" s="165"/>
      <c r="C254" s="322"/>
      <c r="D254" s="323"/>
      <c r="E254" s="323"/>
      <c r="F254" s="323"/>
      <c r="G254" s="323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138"/>
      <c r="V254" s="138"/>
      <c r="W254" s="138"/>
      <c r="X254" s="138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</row>
    <row r="255" spans="1:60" outlineLevel="1" x14ac:dyDescent="0.2">
      <c r="A255" s="184">
        <f>A252+1</f>
        <v>85</v>
      </c>
      <c r="B255" s="185" t="s">
        <v>111</v>
      </c>
      <c r="C255" s="189" t="s">
        <v>112</v>
      </c>
      <c r="D255" s="186" t="s">
        <v>94</v>
      </c>
      <c r="E255" s="187">
        <v>1</v>
      </c>
      <c r="F255" s="188"/>
      <c r="G255" s="161">
        <f>ROUND(E255*F255,2)</f>
        <v>0</v>
      </c>
      <c r="H255" s="188">
        <v>0</v>
      </c>
      <c r="I255" s="161">
        <f>ROUND(E255*H255,2)</f>
        <v>0</v>
      </c>
      <c r="J255" s="188">
        <v>0</v>
      </c>
      <c r="K255" s="161">
        <f>ROUND(E255*J255,2)</f>
        <v>0</v>
      </c>
      <c r="L255" s="161">
        <v>21</v>
      </c>
      <c r="M255" s="161">
        <f>G255*(1+L255/100)</f>
        <v>0</v>
      </c>
      <c r="N255" s="161">
        <v>0</v>
      </c>
      <c r="O255" s="161">
        <f>ROUND(E255*N255,2)</f>
        <v>0</v>
      </c>
      <c r="P255" s="161">
        <v>0</v>
      </c>
      <c r="Q255" s="161">
        <f>ROUND(E255*P255,2)</f>
        <v>0</v>
      </c>
      <c r="R255" s="161"/>
      <c r="S255" s="161" t="s">
        <v>161</v>
      </c>
      <c r="T255" s="162" t="s">
        <v>95</v>
      </c>
      <c r="U255" s="138"/>
      <c r="V255" s="138"/>
      <c r="W255" s="138"/>
      <c r="X255" s="138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</row>
    <row r="256" spans="1:60" ht="23.25" customHeight="1" outlineLevel="1" x14ac:dyDescent="0.2">
      <c r="A256" s="183"/>
      <c r="B256" s="165"/>
      <c r="C256" s="327" t="s">
        <v>157</v>
      </c>
      <c r="D256" s="328"/>
      <c r="E256" s="328"/>
      <c r="F256" s="328"/>
      <c r="G256" s="328"/>
      <c r="H256" s="138"/>
      <c r="I256" s="138"/>
      <c r="J256" s="138"/>
      <c r="K256" s="138"/>
      <c r="L256" s="138"/>
      <c r="M256" s="138"/>
      <c r="N256" s="138"/>
      <c r="O256" s="138"/>
      <c r="P256" s="138"/>
      <c r="Q256" s="138"/>
      <c r="R256" s="138"/>
      <c r="S256" s="138"/>
      <c r="T256" s="138"/>
      <c r="U256" s="138"/>
      <c r="V256" s="138"/>
      <c r="W256" s="138"/>
      <c r="X256" s="138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</row>
    <row r="257" spans="1:60" outlineLevel="1" x14ac:dyDescent="0.2">
      <c r="A257" s="183"/>
      <c r="B257" s="165"/>
      <c r="C257" s="322"/>
      <c r="D257" s="323"/>
      <c r="E257" s="323"/>
      <c r="F257" s="323"/>
      <c r="G257" s="323"/>
      <c r="H257" s="138"/>
      <c r="I257" s="138"/>
      <c r="J257" s="138"/>
      <c r="K257" s="138"/>
      <c r="L257" s="138"/>
      <c r="M257" s="138"/>
      <c r="N257" s="138"/>
      <c r="O257" s="138"/>
      <c r="P257" s="138"/>
      <c r="Q257" s="138"/>
      <c r="R257" s="138"/>
      <c r="S257" s="138"/>
      <c r="T257" s="138"/>
      <c r="U257" s="138"/>
      <c r="V257" s="138"/>
      <c r="W257" s="138"/>
      <c r="X257" s="138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</row>
    <row r="258" spans="1:60" outlineLevel="1" x14ac:dyDescent="0.2">
      <c r="A258" s="3"/>
      <c r="B258" s="4"/>
      <c r="C258" s="148"/>
      <c r="D258" s="6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138"/>
      <c r="V258" s="138"/>
      <c r="W258" s="138"/>
      <c r="X258" s="138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</row>
    <row r="259" spans="1:60" outlineLevel="1" x14ac:dyDescent="0.2">
      <c r="A259" s="202"/>
      <c r="B259" s="203" t="s">
        <v>28</v>
      </c>
      <c r="C259" s="204"/>
      <c r="D259" s="205"/>
      <c r="E259" s="206"/>
      <c r="F259" s="206"/>
      <c r="G259" s="146">
        <f>G8+G73+G118+G196+G200+G203+G216+G232+G245</f>
        <v>0</v>
      </c>
      <c r="H259" s="3"/>
      <c r="I259" s="3"/>
      <c r="J259" s="3"/>
      <c r="K259" s="3"/>
      <c r="L259" s="137"/>
      <c r="M259" s="3"/>
      <c r="N259" s="3"/>
      <c r="O259" s="3"/>
      <c r="P259" s="3"/>
      <c r="Q259" s="3"/>
      <c r="R259" s="3"/>
      <c r="S259" s="3"/>
      <c r="T259" s="3"/>
      <c r="U259" s="138"/>
      <c r="V259" s="138"/>
      <c r="W259" s="138"/>
      <c r="X259" s="138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</row>
    <row r="260" spans="1:60" ht="13.15" customHeight="1" x14ac:dyDescent="0.2">
      <c r="C260" s="149"/>
      <c r="D260" s="10"/>
      <c r="AG260" t="s">
        <v>113</v>
      </c>
    </row>
    <row r="261" spans="1:60" x14ac:dyDescent="0.2">
      <c r="D261" s="10"/>
    </row>
    <row r="262" spans="1:60" x14ac:dyDescent="0.2">
      <c r="D262" s="10"/>
    </row>
    <row r="263" spans="1:60" ht="13.15" customHeight="1" x14ac:dyDescent="0.2">
      <c r="D263" s="10"/>
    </row>
    <row r="264" spans="1:60" x14ac:dyDescent="0.2">
      <c r="D264" s="10"/>
    </row>
    <row r="265" spans="1:60" x14ac:dyDescent="0.2">
      <c r="D265" s="10"/>
    </row>
    <row r="266" spans="1:60" x14ac:dyDescent="0.2">
      <c r="D266" s="10"/>
    </row>
    <row r="267" spans="1:60" x14ac:dyDescent="0.2">
      <c r="D267" s="10"/>
    </row>
    <row r="268" spans="1:60" x14ac:dyDescent="0.2">
      <c r="D268" s="10"/>
    </row>
    <row r="269" spans="1:60" x14ac:dyDescent="0.2">
      <c r="D269" s="10"/>
    </row>
    <row r="270" spans="1:60" x14ac:dyDescent="0.2">
      <c r="D270" s="10"/>
    </row>
    <row r="271" spans="1:60" x14ac:dyDescent="0.2">
      <c r="D271" s="10"/>
    </row>
    <row r="272" spans="1:60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ht="13.15" customHeight="1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ht="13.15" customHeight="1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ht="13.15" customHeight="1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ht="13.15" customHeight="1" x14ac:dyDescent="0.2">
      <c r="D296" s="10"/>
    </row>
    <row r="297" spans="4:4" x14ac:dyDescent="0.2">
      <c r="D297" s="10"/>
    </row>
    <row r="298" spans="4:4" x14ac:dyDescent="0.2">
      <c r="D298" s="10"/>
    </row>
    <row r="299" spans="4:4" ht="13.15" customHeight="1" x14ac:dyDescent="0.2">
      <c r="D299" s="10"/>
    </row>
    <row r="300" spans="4:4" x14ac:dyDescent="0.2">
      <c r="D300" s="10"/>
    </row>
    <row r="301" spans="4:4" x14ac:dyDescent="0.2">
      <c r="D301" s="10"/>
    </row>
    <row r="302" spans="4:4" ht="13.15" customHeight="1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  <row r="5001" spans="4:4" x14ac:dyDescent="0.2">
      <c r="D5001" s="10"/>
    </row>
    <row r="5002" spans="4:4" x14ac:dyDescent="0.2">
      <c r="D5002" s="10"/>
    </row>
    <row r="5003" spans="4:4" x14ac:dyDescent="0.2">
      <c r="D5003" s="10"/>
    </row>
    <row r="5004" spans="4:4" x14ac:dyDescent="0.2">
      <c r="D5004" s="10"/>
    </row>
    <row r="5005" spans="4:4" x14ac:dyDescent="0.2">
      <c r="D5005" s="10"/>
    </row>
    <row r="5006" spans="4:4" x14ac:dyDescent="0.2">
      <c r="D5006" s="10"/>
    </row>
    <row r="5007" spans="4:4" x14ac:dyDescent="0.2">
      <c r="D5007" s="10"/>
    </row>
    <row r="5008" spans="4:4" x14ac:dyDescent="0.2">
      <c r="D5008" s="10"/>
    </row>
    <row r="5009" spans="4:4" x14ac:dyDescent="0.2">
      <c r="D5009" s="10"/>
    </row>
    <row r="5010" spans="4:4" x14ac:dyDescent="0.2">
      <c r="D5010" s="10"/>
    </row>
    <row r="5011" spans="4:4" x14ac:dyDescent="0.2">
      <c r="D5011" s="10"/>
    </row>
    <row r="5012" spans="4:4" x14ac:dyDescent="0.2">
      <c r="D5012" s="10"/>
    </row>
    <row r="5013" spans="4:4" x14ac:dyDescent="0.2">
      <c r="D5013" s="10"/>
    </row>
    <row r="5014" spans="4:4" x14ac:dyDescent="0.2">
      <c r="D5014" s="10"/>
    </row>
    <row r="5015" spans="4:4" x14ac:dyDescent="0.2">
      <c r="D5015" s="10"/>
    </row>
    <row r="5016" spans="4:4" x14ac:dyDescent="0.2">
      <c r="D5016" s="10"/>
    </row>
    <row r="5017" spans="4:4" x14ac:dyDescent="0.2">
      <c r="D5017" s="10"/>
    </row>
    <row r="5018" spans="4:4" x14ac:dyDescent="0.2">
      <c r="D5018" s="10"/>
    </row>
    <row r="5019" spans="4:4" x14ac:dyDescent="0.2">
      <c r="D5019" s="10"/>
    </row>
    <row r="5020" spans="4:4" x14ac:dyDescent="0.2">
      <c r="D5020" s="10"/>
    </row>
    <row r="5021" spans="4:4" x14ac:dyDescent="0.2">
      <c r="D5021" s="10"/>
    </row>
    <row r="5022" spans="4:4" x14ac:dyDescent="0.2">
      <c r="D5022" s="10"/>
    </row>
    <row r="5023" spans="4:4" x14ac:dyDescent="0.2">
      <c r="D5023" s="10"/>
    </row>
    <row r="5024" spans="4:4" x14ac:dyDescent="0.2">
      <c r="D5024" s="10"/>
    </row>
    <row r="5025" spans="4:4" x14ac:dyDescent="0.2">
      <c r="D5025" s="10"/>
    </row>
    <row r="5026" spans="4:4" x14ac:dyDescent="0.2">
      <c r="D5026" s="10"/>
    </row>
    <row r="5027" spans="4:4" x14ac:dyDescent="0.2">
      <c r="D5027" s="10"/>
    </row>
    <row r="5028" spans="4:4" x14ac:dyDescent="0.2">
      <c r="D5028" s="10"/>
    </row>
    <row r="5029" spans="4:4" x14ac:dyDescent="0.2">
      <c r="D5029" s="10"/>
    </row>
    <row r="5030" spans="4:4" x14ac:dyDescent="0.2">
      <c r="D5030" s="10"/>
    </row>
    <row r="5031" spans="4:4" x14ac:dyDescent="0.2">
      <c r="D5031" s="10"/>
    </row>
    <row r="5032" spans="4:4" x14ac:dyDescent="0.2">
      <c r="D5032" s="10"/>
    </row>
    <row r="5033" spans="4:4" x14ac:dyDescent="0.2">
      <c r="D5033" s="10"/>
    </row>
    <row r="5034" spans="4:4" x14ac:dyDescent="0.2">
      <c r="D5034" s="10"/>
    </row>
    <row r="5035" spans="4:4" x14ac:dyDescent="0.2">
      <c r="D5035" s="10"/>
    </row>
    <row r="5036" spans="4:4" x14ac:dyDescent="0.2">
      <c r="D5036" s="10"/>
    </row>
    <row r="5037" spans="4:4" x14ac:dyDescent="0.2">
      <c r="D5037" s="10"/>
    </row>
    <row r="5038" spans="4:4" x14ac:dyDescent="0.2">
      <c r="D5038" s="10"/>
    </row>
    <row r="5039" spans="4:4" x14ac:dyDescent="0.2">
      <c r="D5039" s="10"/>
    </row>
    <row r="5040" spans="4:4" x14ac:dyDescent="0.2">
      <c r="D5040" s="10"/>
    </row>
    <row r="5041" spans="4:4" x14ac:dyDescent="0.2">
      <c r="D5041" s="10"/>
    </row>
    <row r="5042" spans="4:4" x14ac:dyDescent="0.2">
      <c r="D5042" s="10"/>
    </row>
    <row r="5043" spans="4:4" x14ac:dyDescent="0.2">
      <c r="D5043" s="10"/>
    </row>
    <row r="5044" spans="4:4" x14ac:dyDescent="0.2">
      <c r="D5044" s="10"/>
    </row>
    <row r="5045" spans="4:4" x14ac:dyDescent="0.2">
      <c r="D5045" s="10"/>
    </row>
    <row r="5046" spans="4:4" x14ac:dyDescent="0.2">
      <c r="D5046" s="10"/>
    </row>
    <row r="5047" spans="4:4" x14ac:dyDescent="0.2">
      <c r="D5047" s="10"/>
    </row>
    <row r="5048" spans="4:4" x14ac:dyDescent="0.2">
      <c r="D5048" s="10"/>
    </row>
    <row r="5049" spans="4:4" x14ac:dyDescent="0.2">
      <c r="D5049" s="10"/>
    </row>
    <row r="5050" spans="4:4" x14ac:dyDescent="0.2">
      <c r="D5050" s="10"/>
    </row>
    <row r="5051" spans="4:4" x14ac:dyDescent="0.2">
      <c r="D5051" s="10"/>
    </row>
    <row r="5052" spans="4:4" x14ac:dyDescent="0.2">
      <c r="D5052" s="10"/>
    </row>
    <row r="5053" spans="4:4" x14ac:dyDescent="0.2">
      <c r="D5053" s="10"/>
    </row>
    <row r="5054" spans="4:4" x14ac:dyDescent="0.2">
      <c r="D5054" s="10"/>
    </row>
    <row r="5055" spans="4:4" x14ac:dyDescent="0.2">
      <c r="D5055" s="10"/>
    </row>
    <row r="5056" spans="4:4" x14ac:dyDescent="0.2">
      <c r="D5056" s="10"/>
    </row>
    <row r="5057" spans="4:4" x14ac:dyDescent="0.2">
      <c r="D5057" s="10"/>
    </row>
    <row r="5058" spans="4:4" x14ac:dyDescent="0.2">
      <c r="D5058" s="10"/>
    </row>
    <row r="5059" spans="4:4" x14ac:dyDescent="0.2">
      <c r="D5059" s="10"/>
    </row>
    <row r="5060" spans="4:4" x14ac:dyDescent="0.2">
      <c r="D5060" s="10"/>
    </row>
    <row r="5061" spans="4:4" x14ac:dyDescent="0.2">
      <c r="D5061" s="10"/>
    </row>
    <row r="5062" spans="4:4" x14ac:dyDescent="0.2">
      <c r="D5062" s="10"/>
    </row>
    <row r="5063" spans="4:4" x14ac:dyDescent="0.2">
      <c r="D5063" s="10"/>
    </row>
    <row r="5064" spans="4:4" x14ac:dyDescent="0.2">
      <c r="D5064" s="10"/>
    </row>
    <row r="5065" spans="4:4" x14ac:dyDescent="0.2">
      <c r="D5065" s="10"/>
    </row>
    <row r="5066" spans="4:4" x14ac:dyDescent="0.2">
      <c r="D5066" s="10"/>
    </row>
    <row r="5067" spans="4:4" x14ac:dyDescent="0.2">
      <c r="D5067" s="10"/>
    </row>
    <row r="5068" spans="4:4" x14ac:dyDescent="0.2">
      <c r="D5068" s="10"/>
    </row>
    <row r="5069" spans="4:4" x14ac:dyDescent="0.2">
      <c r="D5069" s="10"/>
    </row>
    <row r="5070" spans="4:4" x14ac:dyDescent="0.2">
      <c r="D5070" s="10"/>
    </row>
    <row r="5071" spans="4:4" x14ac:dyDescent="0.2">
      <c r="D5071" s="10"/>
    </row>
    <row r="5072" spans="4:4" x14ac:dyDescent="0.2">
      <c r="D5072" s="10"/>
    </row>
    <row r="5073" spans="4:4" x14ac:dyDescent="0.2">
      <c r="D5073" s="10"/>
    </row>
    <row r="5074" spans="4:4" x14ac:dyDescent="0.2">
      <c r="D5074" s="10"/>
    </row>
    <row r="5075" spans="4:4" x14ac:dyDescent="0.2">
      <c r="D5075" s="10"/>
    </row>
    <row r="5076" spans="4:4" x14ac:dyDescent="0.2">
      <c r="D5076" s="10"/>
    </row>
    <row r="5077" spans="4:4" x14ac:dyDescent="0.2">
      <c r="D5077" s="10"/>
    </row>
    <row r="5078" spans="4:4" x14ac:dyDescent="0.2">
      <c r="D5078" s="10"/>
    </row>
    <row r="5079" spans="4:4" x14ac:dyDescent="0.2">
      <c r="D5079" s="10"/>
    </row>
  </sheetData>
  <sheetProtection algorithmName="SHA-512" hashValue="VwqOJqisMTA00VjAXAv2BbDCoKxSZnzElV1oFPChQuqC4bqYufJVOR2CRR5P5d0fRuU+ljsSS4wFElv9ApNAXQ==" saltValue="x9PH7+TOUr3t2QbXtfqm6A==" spinCount="100000" sheet="1" objects="1" scenarios="1"/>
  <mergeCells count="56">
    <mergeCell ref="C253:G253"/>
    <mergeCell ref="C254:G254"/>
    <mergeCell ref="C256:G256"/>
    <mergeCell ref="C257:G257"/>
    <mergeCell ref="C194:G194"/>
    <mergeCell ref="C238:G238"/>
    <mergeCell ref="C241:G241"/>
    <mergeCell ref="C243:G243"/>
    <mergeCell ref="C247:G247"/>
    <mergeCell ref="C248:G248"/>
    <mergeCell ref="C219:G219"/>
    <mergeCell ref="C228:G228"/>
    <mergeCell ref="C235:G235"/>
    <mergeCell ref="C237:G237"/>
    <mergeCell ref="C202:G202"/>
    <mergeCell ref="C234:G234"/>
    <mergeCell ref="C240:G240"/>
    <mergeCell ref="C250:G250"/>
    <mergeCell ref="C101:G101"/>
    <mergeCell ref="C207:G207"/>
    <mergeCell ref="C215:G215"/>
    <mergeCell ref="C195:G195"/>
    <mergeCell ref="C198:G198"/>
    <mergeCell ref="C120:G120"/>
    <mergeCell ref="C169:G169"/>
    <mergeCell ref="C171:G171"/>
    <mergeCell ref="C181:G181"/>
    <mergeCell ref="C182:G182"/>
    <mergeCell ref="C161:G161"/>
    <mergeCell ref="C72:G72"/>
    <mergeCell ref="C61:G61"/>
    <mergeCell ref="C93:G93"/>
    <mergeCell ref="C44:D44"/>
    <mergeCell ref="C47:D47"/>
    <mergeCell ref="C65:D65"/>
    <mergeCell ref="C54:D54"/>
    <mergeCell ref="C57:D57"/>
    <mergeCell ref="C50:G50"/>
    <mergeCell ref="C60:G60"/>
    <mergeCell ref="C51:D51"/>
    <mergeCell ref="C42:G42"/>
    <mergeCell ref="A1:G1"/>
    <mergeCell ref="C3:G3"/>
    <mergeCell ref="C2:H2"/>
    <mergeCell ref="C4:H4"/>
    <mergeCell ref="C34:G34"/>
    <mergeCell ref="C10:G10"/>
    <mergeCell ref="C14:G14"/>
    <mergeCell ref="C16:G16"/>
    <mergeCell ref="C18:G18"/>
    <mergeCell ref="C22:G22"/>
    <mergeCell ref="C12:G12"/>
    <mergeCell ref="C30:G30"/>
    <mergeCell ref="C26:G26"/>
    <mergeCell ref="C38:G38"/>
    <mergeCell ref="C39:D39"/>
  </mergeCells>
  <pageMargins left="0.59055118110236204" right="0.196850393700787" top="0.78740157499999996" bottom="0.78740157499999996" header="0.3" footer="0.3"/>
  <pageSetup paperSize="9" scale="88" fitToHeight="0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52</vt:i4>
      </vt:variant>
    </vt:vector>
  </HeadingPairs>
  <TitlesOfParts>
    <vt:vector size="58" baseType="lpstr">
      <vt:lpstr>Pokyny pro vyplnění</vt:lpstr>
      <vt:lpstr>Stavba</vt:lpstr>
      <vt:lpstr>VzorPolozky</vt:lpstr>
      <vt:lpstr>SO 101 Riegrova</vt:lpstr>
      <vt:lpstr>SO 102 Nádražní</vt:lpstr>
      <vt:lpstr>SO 103 Poštovní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101 Riegrova'!Názvy_tisku</vt:lpstr>
      <vt:lpstr>'SO 102 Nádražní'!Názvy_tisku</vt:lpstr>
      <vt:lpstr>'SO 103 Poštovní'!Názvy_tisku</vt:lpstr>
      <vt:lpstr>oadresa</vt:lpstr>
      <vt:lpstr>Stavba!Objednatel</vt:lpstr>
      <vt:lpstr>Stavba!Objekt</vt:lpstr>
      <vt:lpstr>'SO 101 Riegrova'!Oblast_tisku</vt:lpstr>
      <vt:lpstr>'SO 102 Nádražní'!Oblast_tisku</vt:lpstr>
      <vt:lpstr>'SO 103 Poštovní'!Oblast_tisku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TSC</dc:creator>
  <cp:lastModifiedBy>PC</cp:lastModifiedBy>
  <cp:lastPrinted>2023-06-19T09:39:57Z</cp:lastPrinted>
  <dcterms:created xsi:type="dcterms:W3CDTF">2009-04-08T07:15:50Z</dcterms:created>
  <dcterms:modified xsi:type="dcterms:W3CDTF">2024-11-15T12:04:30Z</dcterms:modified>
</cp:coreProperties>
</file>